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35" windowWidth="12120" windowHeight="4845" tabRatio="874" firstSheet="2" activeTab="2"/>
  </bookViews>
  <sheets>
    <sheet name="表紙" sheetId="1" r:id="rId1"/>
    <sheet name="使用材一覧" sheetId="2" r:id="rId2"/>
    <sheet name="足場板" sheetId="3" r:id="rId3"/>
    <sheet name="ころばし" sheetId="4" r:id="rId4"/>
    <sheet name="おやご" sheetId="5" r:id="rId5"/>
    <sheet name="チェーン" sheetId="6" r:id="rId6"/>
    <sheet name="設計風速決定表" sheetId="7" r:id="rId7"/>
    <sheet name="朝顔" sheetId="8" r:id="rId8"/>
    <sheet name="朝顔チェーン" sheetId="9" r:id="rId9"/>
    <sheet name="布" sheetId="10" r:id="rId10"/>
    <sheet name="建地" sheetId="11" r:id="rId11"/>
    <sheet name="対応策1)" sheetId="12" r:id="rId12"/>
    <sheet name="対応策2)" sheetId="13" r:id="rId13"/>
    <sheet name="やらず" sheetId="14" r:id="rId14"/>
    <sheet name="吊り用チン" sheetId="15" r:id="rId15"/>
  </sheets>
  <externalReferences>
    <externalReference r:id="rId18"/>
  </externalReferences>
  <definedNames>
    <definedName name="Ｐ．８_２" localSheetId="6">'[1]施工管理計画'!#REF!</definedName>
    <definedName name="Ｐ．８_２">#REF!</definedName>
    <definedName name="_xlnm.Print_Area" localSheetId="3">'ころばし'!$A$1:$AC$38</definedName>
    <definedName name="_xlnm.Print_Area" localSheetId="5">'チェーン'!$A$1:$AD$44</definedName>
    <definedName name="_xlnm.Print_Area" localSheetId="13">'やらず'!$A$1:$AA$107</definedName>
    <definedName name="_xlnm.Print_Area" localSheetId="10">'建地'!$A$1:$AA$47</definedName>
    <definedName name="_xlnm.Print_Area" localSheetId="1">'使用材一覧'!$A$1:$AA$81</definedName>
    <definedName name="_xlnm.Print_Area" localSheetId="6">'設計風速決定表'!$A$1:$J$70</definedName>
    <definedName name="_xlnm.Print_Area" localSheetId="2">'足場板'!$A$2:$AC$85</definedName>
    <definedName name="_xlnm.Print_Area" localSheetId="11">'対応策1)'!$A$1:$AA$47</definedName>
    <definedName name="_xlnm.Print_Area" localSheetId="12">'対応策2)'!$A$1:$AA$85</definedName>
    <definedName name="_xlnm.Print_Area" localSheetId="7">'朝顔'!$A$1:$AA$89</definedName>
    <definedName name="_xlnm.Print_Area" localSheetId="8">'朝顔チェーン'!$A$1:$AA$71</definedName>
    <definedName name="_xlnm.Print_Area" localSheetId="14">'吊り用チン'!$B$2:$Y$33</definedName>
    <definedName name="_xlnm.Print_Area" localSheetId="0">'表紙'!$B$2:$Z$62</definedName>
    <definedName name="_xlnm.Print_Area" localSheetId="9">'布'!$A$1:$AA$31</definedName>
  </definedNames>
  <calcPr fullCalcOnLoad="1" fullPrecision="0" iterate="1" iterateCount="100" iterateDelta="0.001"/>
</workbook>
</file>

<file path=xl/comments8.xml><?xml version="1.0" encoding="utf-8"?>
<comments xmlns="http://schemas.openxmlformats.org/spreadsheetml/2006/main">
  <authors>
    <author>濱野一彦</author>
  </authors>
  <commentList>
    <comment ref="I75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「ころばし」と「はなどめ」および「やらず」と「ころばし」のクランプ</t>
        </r>
      </text>
    </comment>
    <comment ref="I87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「布」と「建地」のクランプ</t>
        </r>
      </text>
    </comment>
    <comment ref="K87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「布」と「やらず」のクランプ</t>
        </r>
      </text>
    </comment>
    <comment ref="M87" authorId="0">
      <text>
        <r>
          <rPr>
            <b/>
            <sz val="9"/>
            <rFont val="ＭＳ Ｐゴシック"/>
            <family val="3"/>
          </rPr>
          <t>濱野一彦:</t>
        </r>
        <r>
          <rPr>
            <sz val="9"/>
            <rFont val="ＭＳ Ｐゴシック"/>
            <family val="3"/>
          </rPr>
          <t xml:space="preserve">
「建地」と「ころばし」および「建地」と「はなどめ」のクランプ</t>
        </r>
      </text>
    </comment>
  </commentList>
</comments>
</file>

<file path=xl/sharedStrings.xml><?xml version="1.0" encoding="utf-8"?>
<sst xmlns="http://schemas.openxmlformats.org/spreadsheetml/2006/main" count="1453" uniqueCount="837">
  <si>
    <t>＝</t>
  </si>
  <si>
    <t>×</t>
  </si>
  <si>
    <t>φ</t>
  </si>
  <si>
    <t>L</t>
  </si>
  <si>
    <t>破断強度</t>
  </si>
  <si>
    <t>安全率</t>
  </si>
  <si>
    <t>許容耐力</t>
  </si>
  <si>
    <t>Ｔa＝</t>
  </si>
  <si>
    <t>等分布荷重</t>
  </si>
  <si>
    <t>集中荷重</t>
  </si>
  <si>
    <t>Ｐ</t>
  </si>
  <si>
    <t>Ｌ＝</t>
  </si>
  <si>
    <t>＋</t>
  </si>
  <si>
    <t>Ｍ</t>
  </si>
  <si>
    <t>Ｚ</t>
  </si>
  <si>
    <t>たわみ</t>
  </si>
  <si>
    <t>足場板自重</t>
  </si>
  <si>
    <t>足場板</t>
  </si>
  <si>
    <t>ころばし</t>
  </si>
  <si>
    <t>足場チェーンピッチ（おやご支間）</t>
  </si>
  <si>
    <t>おやご間隔</t>
  </si>
  <si>
    <t>で計算する。</t>
  </si>
  <si>
    <t>おやご</t>
  </si>
  <si>
    <t>足場チェーン１本に作用する荷重</t>
  </si>
  <si>
    <t>載荷荷重</t>
  </si>
  <si>
    <t>作業員</t>
  </si>
  <si>
    <t>合計</t>
  </si>
  <si>
    <t>足場チェーン張力</t>
  </si>
  <si>
    <t>＝</t>
  </si>
  <si>
    <t>N</t>
  </si>
  <si>
    <t>2</t>
  </si>
  <si>
    <t>N</t>
  </si>
  <si>
    <t>mm</t>
  </si>
  <si>
    <t>w</t>
  </si>
  <si>
    <t>足場板</t>
  </si>
  <si>
    <t>ころばし</t>
  </si>
  <si>
    <t>足場板種類</t>
  </si>
  <si>
    <t>合板足場板</t>
  </si>
  <si>
    <t>杉材足場板</t>
  </si>
  <si>
    <t>松材足場板</t>
  </si>
  <si>
    <t>鋼製足場板</t>
  </si>
  <si>
    <t>アルミ足場板</t>
  </si>
  <si>
    <t>（厚さ×幅×長さ）</t>
  </si>
  <si>
    <t>寸法</t>
  </si>
  <si>
    <t>質量</t>
  </si>
  <si>
    <t>単位重量</t>
  </si>
  <si>
    <t>断面係数</t>
  </si>
  <si>
    <t>（注２</t>
  </si>
  <si>
    <t>（注４</t>
  </si>
  <si>
    <t>（注１</t>
  </si>
  <si>
    <t>（注３</t>
  </si>
  <si>
    <t>断面２次ﾓｰﾒﾝﾄ</t>
  </si>
  <si>
    <t>ヤング係数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</si>
  <si>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</si>
  <si>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</si>
  <si>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</si>
  <si>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</si>
  <si>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</si>
  <si>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</si>
  <si>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</si>
  <si>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</si>
  <si>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</si>
  <si>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</si>
  <si>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</si>
  <si>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径</t>
  </si>
  <si>
    <t>単重</t>
  </si>
  <si>
    <t>N/m</t>
  </si>
  <si>
    <t>許容曲応力</t>
  </si>
  <si>
    <t>１３</t>
  </si>
  <si>
    <t>断面積</t>
  </si>
  <si>
    <t>足場チェーン</t>
  </si>
  <si>
    <t>１本吊り</t>
  </si>
  <si>
    <t>ループ吊り</t>
  </si>
  <si>
    <t>破断強度</t>
  </si>
  <si>
    <t>許容荷重</t>
  </si>
  <si>
    <t>N</t>
  </si>
  <si>
    <t>N/m</t>
  </si>
  <si>
    <t>径×厚さ（材質）</t>
  </si>
  <si>
    <t>断面２次　　　ﾓｰﾒﾝﾄ</t>
  </si>
  <si>
    <t>ヤング　　　係数</t>
  </si>
  <si>
    <t>許容　　　曲応力度</t>
  </si>
  <si>
    <t>１</t>
  </si>
  <si>
    <t>活荷重</t>
  </si>
  <si>
    <t>集中荷重</t>
  </si>
  <si>
    <t>当分布荷重</t>
  </si>
  <si>
    <t>m</t>
  </si>
  <si>
    <t>Ｐ</t>
  </si>
  <si>
    <t>N･m</t>
  </si>
  <si>
    <t>ころばし＋足場板</t>
  </si>
  <si>
    <t>活荷重（作業員）</t>
  </si>
  <si>
    <t>おやご</t>
  </si>
  <si>
    <t>N</t>
  </si>
  <si>
    <t>N</t>
  </si>
  <si>
    <t>×</t>
  </si>
  <si>
    <t>mm</t>
  </si>
  <si>
    <t>足場      チェーン</t>
  </si>
  <si>
    <t>=</t>
  </si>
  <si>
    <t>たてじ</t>
  </si>
  <si>
    <t>@</t>
  </si>
  <si>
    <t>やらず</t>
  </si>
  <si>
    <t>ころばし間隔</t>
  </si>
  <si>
    <t>×</t>
  </si>
  <si>
    <t>シート・ネット材料</t>
  </si>
  <si>
    <t>シート・板張り</t>
  </si>
  <si>
    <t>防災メッシュ</t>
  </si>
  <si>
    <t>ﾗｯｾﾙﾈｯﾄ 15mm目</t>
  </si>
  <si>
    <t>養生ﾈｯﾄ   15mm目</t>
  </si>
  <si>
    <t>養生ﾈｯﾄ   25mm目</t>
  </si>
  <si>
    <t>充実率　φ</t>
  </si>
  <si>
    <t>Ｌ：朝顔施工長</t>
  </si>
  <si>
    <t>Ｂ：朝顔高さ</t>
  </si>
  <si>
    <t>=</t>
  </si>
  <si>
    <t>=</t>
  </si>
  <si>
    <t>（４）クランプ（緊結金具）</t>
  </si>
  <si>
    <t>重　　量</t>
  </si>
  <si>
    <t>Ｗ＝</t>
  </si>
  <si>
    <t>①　変化量が10mm以下であること</t>
  </si>
  <si>
    <t>②　最大荷重は次の値以上であること</t>
  </si>
  <si>
    <t>直交型</t>
  </si>
  <si>
    <t>自在型</t>
  </si>
  <si>
    <t>　 径</t>
  </si>
  <si>
    <t>φ＝</t>
  </si>
  <si>
    <t>mm</t>
  </si>
  <si>
    <t>断 面 積</t>
  </si>
  <si>
    <t>Ａ＝</t>
  </si>
  <si>
    <t>一本の引張強さ</t>
  </si>
  <si>
    <t>（１）足場板</t>
  </si>
  <si>
    <t>断面二次ﾓｰﾒﾝﾄ</t>
  </si>
  <si>
    <t>断面係数</t>
  </si>
  <si>
    <t>ヤング係数</t>
  </si>
  <si>
    <t>許容応力</t>
  </si>
  <si>
    <t>σa＝</t>
  </si>
  <si>
    <t>（２）足場パイプ</t>
  </si>
  <si>
    <t>回転半径</t>
  </si>
  <si>
    <t>準拠図書　：</t>
  </si>
  <si>
    <t>N</t>
  </si>
  <si>
    <t>KN</t>
  </si>
  <si>
    <t>１）ころばし・朝顔パイプ</t>
  </si>
  <si>
    <t>引張り試験性能</t>
  </si>
  <si>
    <t>許容耐力</t>
  </si>
  <si>
    <t>なまし鉄線</t>
  </si>
  <si>
    <t>引張強さ</t>
  </si>
  <si>
    <t>回転　　半径</t>
  </si>
  <si>
    <t>合　　板</t>
  </si>
  <si>
    <t>　板厚　　mm</t>
  </si>
  <si>
    <t>t = 12</t>
  </si>
  <si>
    <t>（６）合板</t>
  </si>
  <si>
    <t>板厚</t>
  </si>
  <si>
    <t>平成１６年２月改訂版　社団法人日本橋梁建設協会</t>
  </si>
  <si>
    <t>足場工・防護工の施工計画の手引き（鋼橋架設工事用）他</t>
  </si>
  <si>
    <t>建　地</t>
  </si>
  <si>
    <t>布</t>
  </si>
  <si>
    <t>m単管</t>
  </si>
  <si>
    <t>注）単重は杉考足場機材マニュアルによる。</t>
  </si>
  <si>
    <t>１．足場工使用材一覧</t>
  </si>
  <si>
    <t>（１）荷　重</t>
  </si>
  <si>
    <t>１）風荷重</t>
  </si>
  <si>
    <t>２）主体足場死荷重（朝顔施工長</t>
  </si>
  <si>
    <t>３）朝顔死荷重（朝顔施工長</t>
  </si>
  <si>
    <t>１）主体足場</t>
  </si>
  <si>
    <t>２）朝顔</t>
  </si>
  <si>
    <t>活荷重　（</t>
  </si>
  <si>
    <t>）はチェーン１本に作用する</t>
  </si>
  <si>
    <t>チェーン間隔</t>
  </si>
  <si>
    <t>張力の計算</t>
  </si>
  <si>
    <t>足場チェーン②</t>
  </si>
  <si>
    <t>θ</t>
  </si>
  <si>
    <t>ｗ</t>
  </si>
  <si>
    <t>片持ち梁として照査する場合の支点位置は、やらず取付点および足場チェーン取付点のうち</t>
  </si>
  <si>
    <t>　下段側とする。</t>
  </si>
  <si>
    <t>やらず取付点</t>
  </si>
  <si>
    <t>足場チェーン取付点</t>
  </si>
  <si>
    <t>受圧範囲</t>
  </si>
  <si>
    <t>建 地 　＠</t>
  </si>
  <si>
    <t>足場チェーン取付点からの片持ち梁として照査する。</t>
  </si>
  <si>
    <t>やらずに作用する水平力</t>
  </si>
  <si>
    <t>やらず軸力</t>
  </si>
  <si>
    <t>圧縮応力度照査</t>
  </si>
  <si>
    <t>限界細長比</t>
  </si>
  <si>
    <t>λ≦Λの場合</t>
  </si>
  <si>
    <t>λ&gt;Λの場合</t>
  </si>
  <si>
    <t>降伏応力</t>
  </si>
  <si>
    <t>型枠用合板 (t=12)</t>
  </si>
  <si>
    <t>（ネット・板張り等の充実率）</t>
  </si>
  <si>
    <t>押さえパイプ</t>
  </si>
  <si>
    <t>合板（t=12）</t>
  </si>
  <si>
    <t>高さ</t>
  </si>
  <si>
    <t>やらず間隔</t>
  </si>
  <si>
    <t>やらず間隔　（</t>
  </si>
  <si>
    <t>２）板張り上部をネットに変更</t>
  </si>
  <si>
    <t>対応策として、以下の検討を行う。</t>
  </si>
  <si>
    <t>チェーン取付け位置をやらず取付け点付近に変更（あるいは追加）する。</t>
  </si>
  <si>
    <t>変更（or 追加）足場チェーン</t>
  </si>
  <si>
    <t>1）　建地　　対応策１</t>
  </si>
  <si>
    <t>板張り上部を養生ネットに変更する。</t>
  </si>
  <si>
    <t>1）　建地　　対応策２</t>
  </si>
  <si>
    <t>養生ネット</t>
  </si>
  <si>
    <t>15mm目</t>
  </si>
  <si>
    <t>設計風速</t>
  </si>
  <si>
    <t>ネット部の風荷重</t>
  </si>
  <si>
    <t>１）全面板張りのケースで検討する。</t>
  </si>
  <si>
    <t>２）板張り上部を養生ネットのケースで検討する。</t>
  </si>
  <si>
    <t>クランプ照査</t>
  </si>
  <si>
    <t>種類：</t>
  </si>
  <si>
    <t>10番線</t>
  </si>
  <si>
    <t>8番線</t>
  </si>
  <si>
    <t>@</t>
  </si>
  <si>
    <t>ころばし</t>
  </si>
  <si>
    <t>Z</t>
  </si>
  <si>
    <t>C1 ：基本風力係数</t>
  </si>
  <si>
    <t>R：シート・ネット等の縦横比による形状補正係数</t>
  </si>
  <si>
    <t>③風荷重：p1</t>
  </si>
  <si>
    <t>h =</t>
  </si>
  <si>
    <t>1.3σa =</t>
  </si>
  <si>
    <t>＠</t>
  </si>
  <si>
    <t>W</t>
  </si>
  <si>
    <t>やらず</t>
  </si>
  <si>
    <t>＠</t>
  </si>
  <si>
    <t>風力係数：C</t>
  </si>
  <si>
    <t>C2 ：基本風力係数</t>
  </si>
  <si>
    <t>L：朝顔施工長</t>
  </si>
  <si>
    <t>B：朝顔高さ</t>
  </si>
  <si>
    <t>＠</t>
  </si>
  <si>
    <t>やらず</t>
  </si>
  <si>
    <t>＠</t>
  </si>
  <si>
    <t>ｂ ＝</t>
  </si>
  <si>
    <t>分布荷重</t>
  </si>
  <si>
    <t>H</t>
  </si>
  <si>
    <t>Ｗ ＝</t>
  </si>
  <si>
    <t>N</t>
  </si>
  <si>
    <t>Ｉ ＝</t>
  </si>
  <si>
    <r>
      <t>mm</t>
    </r>
    <r>
      <rPr>
        <vertAlign val="superscript"/>
        <sz val="11"/>
        <rFont val="ＭＳ Ｐ明朝"/>
        <family val="1"/>
      </rPr>
      <t>4</t>
    </r>
  </si>
  <si>
    <t>N/m</t>
  </si>
  <si>
    <r>
      <t>mm</t>
    </r>
    <r>
      <rPr>
        <vertAlign val="superscript"/>
        <sz val="11"/>
        <rFont val="ＭＳ Ｐ明朝"/>
        <family val="1"/>
      </rPr>
      <t>4</t>
    </r>
  </si>
  <si>
    <r>
      <t>mm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</si>
  <si>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1"/>
        <rFont val="ＭＳ Ｐ明朝"/>
        <family val="1"/>
      </rPr>
      <t>2</t>
    </r>
  </si>
  <si>
    <t>mm</t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</si>
  <si>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</si>
  <si>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</si>
  <si>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φ48.6×2.4(STK500)</t>
  </si>
  <si>
    <t>Ｅ ＝</t>
  </si>
  <si>
    <t>□60×2.3(STKR400)</t>
  </si>
  <si>
    <t>□75×3.2(STKR400)</t>
  </si>
  <si>
    <t>□100×3.2(STKR400)</t>
  </si>
  <si>
    <t>□60×2.3(STKR490)</t>
  </si>
  <si>
    <t>□75×3.2(STKR490)</t>
  </si>
  <si>
    <t>□100×3.2(STKR490)</t>
  </si>
  <si>
    <t>Ｗ ＝</t>
  </si>
  <si>
    <t>Ｉ ＝</t>
  </si>
  <si>
    <r>
      <t>mm</t>
    </r>
    <r>
      <rPr>
        <vertAlign val="superscript"/>
        <sz val="11"/>
        <rFont val="ＭＳ Ｐ明朝"/>
        <family val="1"/>
      </rPr>
      <t>4</t>
    </r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</si>
  <si>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</si>
  <si>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</si>
  <si>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１</t>
  </si>
  <si>
    <t>Ｅ ＝</t>
  </si>
  <si>
    <r>
      <t>N/mm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</si>
  <si>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1"/>
        <rFont val="ＭＳ Ｐ明朝"/>
        <family val="1"/>
      </rPr>
      <t>2</t>
    </r>
  </si>
  <si>
    <r>
      <t>N/m</t>
    </r>
    <r>
      <rPr>
        <vertAlign val="superscript"/>
        <sz val="10"/>
        <rFont val="ＭＳ Ｐ明朝"/>
        <family val="1"/>
      </rPr>
      <t>2</t>
    </r>
  </si>
  <si>
    <r>
      <t>mm</t>
    </r>
    <r>
      <rPr>
        <vertAlign val="superscript"/>
        <sz val="10"/>
        <rFont val="ＭＳ Ｐ明朝"/>
        <family val="1"/>
      </rPr>
      <t>4</t>
    </r>
  </si>
  <si>
    <r>
      <t>mm</t>
    </r>
    <r>
      <rPr>
        <vertAlign val="superscript"/>
        <sz val="10"/>
        <rFont val="ＭＳ Ｐ明朝"/>
        <family val="1"/>
      </rPr>
      <t>2</t>
    </r>
  </si>
  <si>
    <r>
      <t>N/mm</t>
    </r>
    <r>
      <rPr>
        <vertAlign val="superscript"/>
        <sz val="10"/>
        <rFont val="ＭＳ Ｐ明朝"/>
        <family val="1"/>
      </rPr>
      <t>2</t>
    </r>
  </si>
  <si>
    <t>ｒ ＝</t>
  </si>
  <si>
    <t>Ａ ＝</t>
  </si>
  <si>
    <r>
      <t>mm</t>
    </r>
    <r>
      <rPr>
        <vertAlign val="superscript"/>
        <sz val="11"/>
        <rFont val="ＭＳ Ｐ明朝"/>
        <family val="1"/>
      </rPr>
      <t>2</t>
    </r>
  </si>
  <si>
    <t>２）おやご</t>
  </si>
  <si>
    <t>Ｗ ＝</t>
  </si>
  <si>
    <t>N/m</t>
  </si>
  <si>
    <t>Ｉ ＝</t>
  </si>
  <si>
    <r>
      <t>mm</t>
    </r>
    <r>
      <rPr>
        <vertAlign val="superscript"/>
        <sz val="11"/>
        <rFont val="ＭＳ Ｐ明朝"/>
        <family val="1"/>
      </rPr>
      <t>4</t>
    </r>
  </si>
  <si>
    <t>Ｚ ＝</t>
  </si>
  <si>
    <r>
      <t>mm</t>
    </r>
    <r>
      <rPr>
        <vertAlign val="superscript"/>
        <sz val="11"/>
        <rFont val="ＭＳ Ｐ明朝"/>
        <family val="1"/>
      </rPr>
      <t>3</t>
    </r>
  </si>
  <si>
    <t>Ｅ ＝</t>
  </si>
  <si>
    <r>
      <t>N/mm</t>
    </r>
    <r>
      <rPr>
        <vertAlign val="superscript"/>
        <sz val="11"/>
        <rFont val="ＭＳ Ｐ明朝"/>
        <family val="1"/>
      </rPr>
      <t>2</t>
    </r>
  </si>
  <si>
    <t>ｒ ＝</t>
  </si>
  <si>
    <t>mm</t>
  </si>
  <si>
    <t>１</t>
  </si>
  <si>
    <t>（３）吊りチェーン</t>
  </si>
  <si>
    <t>mm</t>
  </si>
  <si>
    <t>N</t>
  </si>
  <si>
    <t>N</t>
  </si>
  <si>
    <t>１</t>
  </si>
  <si>
    <t>　径　mm （番）</t>
  </si>
  <si>
    <t>mm</t>
  </si>
  <si>
    <t>N/m</t>
  </si>
  <si>
    <r>
      <t>mm</t>
    </r>
    <r>
      <rPr>
        <vertAlign val="superscript"/>
        <sz val="11"/>
        <rFont val="ＭＳ Ｐ明朝"/>
        <family val="1"/>
      </rPr>
      <t>2</t>
    </r>
  </si>
  <si>
    <t>N</t>
  </si>
  <si>
    <t>KN</t>
  </si>
  <si>
    <t>～</t>
  </si>
  <si>
    <t>（５）なまし鉄線</t>
  </si>
  <si>
    <t>１</t>
  </si>
  <si>
    <t>N/m</t>
  </si>
  <si>
    <r>
      <t>N/m</t>
    </r>
    <r>
      <rPr>
        <vertAlign val="superscript"/>
        <sz val="11"/>
        <rFont val="ＭＳ Ｐ明朝"/>
        <family val="1"/>
      </rPr>
      <t>2</t>
    </r>
  </si>
  <si>
    <r>
      <t>mm</t>
    </r>
    <r>
      <rPr>
        <vertAlign val="superscript"/>
        <sz val="11"/>
        <rFont val="ＭＳ Ｐ明朝"/>
        <family val="1"/>
      </rPr>
      <t>2</t>
    </r>
  </si>
  <si>
    <t>t = 12</t>
  </si>
  <si>
    <t>～</t>
  </si>
  <si>
    <t>N</t>
  </si>
  <si>
    <t xml:space="preserve">t = </t>
  </si>
  <si>
    <t>足  場  計  算  書</t>
  </si>
  <si>
    <t>平成</t>
  </si>
  <si>
    <t>年</t>
  </si>
  <si>
    <t>月</t>
  </si>
  <si>
    <t>おやご</t>
  </si>
  <si>
    <t>死荷重</t>
  </si>
  <si>
    <r>
      <t>N/m</t>
    </r>
    <r>
      <rPr>
        <vertAlign val="superscript"/>
        <sz val="11"/>
        <rFont val="ＭＳ Ｐ明朝"/>
        <family val="1"/>
      </rPr>
      <t>2</t>
    </r>
  </si>
  <si>
    <t>w</t>
  </si>
  <si>
    <t>曲げモーメント</t>
  </si>
  <si>
    <t>曲げ応力</t>
  </si>
  <si>
    <t>M</t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</si>
  <si>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</si>
  <si>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σa＝</t>
  </si>
  <si>
    <r>
      <t>N/mm</t>
    </r>
    <r>
      <rPr>
        <vertAlign val="superscript"/>
        <sz val="11"/>
        <rFont val="ＭＳ Ｐ明朝"/>
        <family val="1"/>
      </rPr>
      <t>2</t>
    </r>
  </si>
  <si>
    <t>3</t>
  </si>
  <si>
    <t>4</t>
  </si>
  <si>
    <r>
      <t>N/m</t>
    </r>
    <r>
      <rPr>
        <vertAlign val="superscript"/>
        <sz val="11"/>
        <color indexed="12"/>
        <rFont val="ＭＳ Ｐ明朝"/>
        <family val="1"/>
      </rPr>
      <t>2</t>
    </r>
  </si>
  <si>
    <t>=</t>
  </si>
  <si>
    <t>N･m</t>
  </si>
  <si>
    <t>Z</t>
  </si>
  <si>
    <t>3</t>
  </si>
  <si>
    <t>4</t>
  </si>
  <si>
    <t>×</t>
  </si>
  <si>
    <t>mm</t>
  </si>
  <si>
    <r>
      <t>足場ﾁｪｰﾝ（</t>
    </r>
    <r>
      <rPr>
        <b/>
        <sz val="11"/>
        <rFont val="ＭＳ Ｐ明朝"/>
        <family val="1"/>
      </rPr>
      <t>×</t>
    </r>
    <r>
      <rPr>
        <sz val="11"/>
        <rFont val="ＭＳ Ｐ明朝"/>
        <family val="1"/>
      </rPr>
      <t>点）</t>
    </r>
  </si>
  <si>
    <t>＝</t>
  </si>
  <si>
    <t>Ｐ</t>
  </si>
  <si>
    <t>ｗ</t>
  </si>
  <si>
    <t xml:space="preserve"> N/m</t>
  </si>
  <si>
    <t>2</t>
  </si>
  <si>
    <t>N/m</t>
  </si>
  <si>
    <t>吊りチェーン</t>
  </si>
  <si>
    <t>ころばしパイプ</t>
  </si>
  <si>
    <t>おやごパイプ</t>
  </si>
  <si>
    <t>m</t>
  </si>
  <si>
    <t>Ｗ</t>
  </si>
  <si>
    <t>足場ﾁｪｰﾝ ①</t>
  </si>
  <si>
    <t>足場ﾁｪｰﾝ ②</t>
  </si>
  <si>
    <t>mm</t>
  </si>
  <si>
    <r>
      <t>①設計風速：Ｖ</t>
    </r>
    <r>
      <rPr>
        <vertAlign val="subscript"/>
        <sz val="11"/>
        <rFont val="ＭＳ Ｐ明朝"/>
        <family val="1"/>
      </rPr>
      <t>Ｚ</t>
    </r>
  </si>
  <si>
    <t>m/s</t>
  </si>
  <si>
    <t>=</t>
  </si>
  <si>
    <t>１</t>
  </si>
  <si>
    <t>２</t>
  </si>
  <si>
    <t>３</t>
  </si>
  <si>
    <t>４</t>
  </si>
  <si>
    <r>
      <t>基本風力係数　Ｃ</t>
    </r>
    <r>
      <rPr>
        <vertAlign val="subscript"/>
        <sz val="11"/>
        <rFont val="ＭＳ Ｐ明朝"/>
        <family val="1"/>
      </rPr>
      <t>０</t>
    </r>
  </si>
  <si>
    <r>
      <t>単重　N/m</t>
    </r>
    <r>
      <rPr>
        <vertAlign val="superscript"/>
        <sz val="11"/>
        <rFont val="ＭＳ Ｐ明朝"/>
        <family val="1"/>
      </rPr>
      <t>2</t>
    </r>
  </si>
  <si>
    <t>×</t>
  </si>
  <si>
    <t>=</t>
  </si>
  <si>
    <t>C1 =</t>
  </si>
  <si>
    <t>A</t>
  </si>
  <si>
    <t>φ≠1,  K≦0.73 なので</t>
  </si>
  <si>
    <t>B</t>
  </si>
  <si>
    <r>
      <t>C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>=K /　SQRT( 1 + K/4 )</t>
    </r>
  </si>
  <si>
    <t>ここに</t>
  </si>
  <si>
    <t>φ≠1,  K＞0.73 なので</t>
  </si>
  <si>
    <t>C</t>
  </si>
  <si>
    <r>
      <t>C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=2.8log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>(K +0.6-SQRT(1.2K+0.36))-2.8log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 xml:space="preserve">K+2.0 </t>
    </r>
  </si>
  <si>
    <t>ｍ</t>
  </si>
  <si>
    <t>×</t>
  </si>
  <si>
    <t>2</t>
  </si>
  <si>
    <t>＝</t>
  </si>
  <si>
    <r>
      <t>N/m</t>
    </r>
    <r>
      <rPr>
        <vertAlign val="superscript"/>
        <sz val="11"/>
        <rFont val="ＭＳ Ｐ明朝"/>
        <family val="1"/>
      </rPr>
      <t>2</t>
    </r>
  </si>
  <si>
    <t>m)</t>
  </si>
  <si>
    <t>ころばし</t>
  </si>
  <si>
    <t>×</t>
  </si>
  <si>
    <t>=</t>
  </si>
  <si>
    <t>N</t>
  </si>
  <si>
    <t>×</t>
  </si>
  <si>
    <t>=</t>
  </si>
  <si>
    <t>N</t>
  </si>
  <si>
    <t>はなどめ</t>
  </si>
  <si>
    <t>クランプ</t>
  </si>
  <si>
    <t>ヶ</t>
  </si>
  <si>
    <t>=</t>
  </si>
  <si>
    <t>m)</t>
  </si>
  <si>
    <t>×</t>
  </si>
  <si>
    <t>N</t>
  </si>
  <si>
    <t>やらず</t>
  </si>
  <si>
    <t>×</t>
  </si>
  <si>
    <t>=</t>
  </si>
  <si>
    <t>N</t>
  </si>
  <si>
    <t>クランプ</t>
  </si>
  <si>
    <t>(</t>
  </si>
  <si>
    <t>＋</t>
  </si>
  <si>
    <t>)×</t>
  </si>
  <si>
    <t>m</t>
  </si>
  <si>
    <t>×</t>
  </si>
  <si>
    <t>=</t>
  </si>
  <si>
    <t>N</t>
  </si>
  <si>
    <t>吊りチェーン</t>
  </si>
  <si>
    <t>１）足場チェーン①</t>
  </si>
  <si>
    <t>mm</t>
  </si>
  <si>
    <t>+</t>
  </si>
  <si>
    <t>）×</t>
  </si>
  <si>
    <t>=</t>
  </si>
  <si>
    <t>N</t>
  </si>
  <si>
    <t>×</t>
  </si>
  <si>
    <t>=</t>
  </si>
  <si>
    <t>N</t>
  </si>
  <si>
    <t>Ta =</t>
  </si>
  <si>
    <t>２）足場チェーン②</t>
  </si>
  <si>
    <t>W</t>
  </si>
  <si>
    <t>θ</t>
  </si>
  <si>
    <t>ｈ</t>
  </si>
  <si>
    <t>Ｗ</t>
  </si>
  <si>
    <t>×</t>
  </si>
  <si>
    <t>=</t>
  </si>
  <si>
    <r>
      <t>tan</t>
    </r>
    <r>
      <rPr>
        <vertAlign val="superscript"/>
        <sz val="11"/>
        <rFont val="ＭＳ Ｐ明朝"/>
        <family val="1"/>
      </rPr>
      <t>-1</t>
    </r>
  </si>
  <si>
    <t>rad</t>
  </si>
  <si>
    <r>
      <t>p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× b  = </t>
    </r>
  </si>
  <si>
    <t>N/m</t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</si>
  <si>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×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= </t>
    </r>
  </si>
  <si>
    <r>
      <t>h</t>
    </r>
    <r>
      <rPr>
        <vertAlign val="subscript"/>
        <sz val="11"/>
        <rFont val="ＭＳ Ｐ明朝"/>
        <family val="1"/>
      </rPr>
      <t>R</t>
    </r>
    <r>
      <rPr>
        <sz val="11"/>
        <rFont val="ＭＳ Ｐ明朝"/>
        <family val="1"/>
      </rPr>
      <t xml:space="preserve"> +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/2 =</t>
    </r>
  </si>
  <si>
    <t>+</t>
  </si>
  <si>
    <t>m</t>
  </si>
  <si>
    <t>やらず</t>
  </si>
  <si>
    <t>ｗ</t>
  </si>
  <si>
    <t>＠</t>
  </si>
  <si>
    <t>ｈ＝</t>
  </si>
  <si>
    <t>）を支間長とする単純梁として計算する。</t>
  </si>
  <si>
    <t>×</t>
  </si>
  <si>
    <t>＝</t>
  </si>
  <si>
    <t>N/m</t>
  </si>
  <si>
    <r>
      <t>w ･ L</t>
    </r>
    <r>
      <rPr>
        <vertAlign val="superscript"/>
        <sz val="11"/>
        <rFont val="ＭＳ Ｐ明朝"/>
        <family val="1"/>
      </rPr>
      <t>2</t>
    </r>
  </si>
  <si>
    <t>=</t>
  </si>
  <si>
    <t>２</t>
  </si>
  <si>
    <t>N・m</t>
  </si>
  <si>
    <t>M</t>
  </si>
  <si>
    <r>
      <t>N/m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</si>
  <si>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Z</t>
  </si>
  <si>
    <t>N/mm2</t>
  </si>
  <si>
    <t>ｗ</t>
  </si>
  <si>
    <t>ｈ＝</t>
  </si>
  <si>
    <t>やらず</t>
  </si>
  <si>
    <t>ｂ ＝</t>
  </si>
  <si>
    <r>
      <t>w' ･ L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</si>
  <si>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</si>
  <si>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１）チェーン取付け位置をやらず取付け点に変更</t>
  </si>
  <si>
    <r>
      <t>V</t>
    </r>
    <r>
      <rPr>
        <vertAlign val="subscript"/>
        <sz val="11"/>
        <rFont val="ＭＳ Ｐ明朝"/>
        <family val="1"/>
      </rPr>
      <t>Z　</t>
    </r>
    <r>
      <rPr>
        <sz val="11"/>
        <rFont val="ＭＳ Ｐ明朝"/>
        <family val="1"/>
      </rPr>
      <t>=　</t>
    </r>
  </si>
  <si>
    <t>１</t>
  </si>
  <si>
    <t>２</t>
  </si>
  <si>
    <t>３</t>
  </si>
  <si>
    <t>４</t>
  </si>
  <si>
    <t>C　=   0.11 + 0.945 C2 ・R</t>
  </si>
  <si>
    <t xml:space="preserve">=  0.11 + </t>
  </si>
  <si>
    <t>φ　=</t>
  </si>
  <si>
    <t>C2 =</t>
  </si>
  <si>
    <r>
      <t>R　= 0.5813 + 0.013 α - 0.0001 α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　＝</t>
    </r>
  </si>
  <si>
    <t>φ＝1　なので</t>
  </si>
  <si>
    <r>
      <t>C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= 2</t>
    </r>
  </si>
  <si>
    <r>
      <t>C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= K /　SQRT( 1 + K/4 )</t>
    </r>
  </si>
  <si>
    <t xml:space="preserve">α　= L / B = </t>
  </si>
  <si>
    <r>
      <t>C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= 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>(K +0.6-SQRT(1.2K+0.36))-2.8log</t>
    </r>
    <r>
      <rPr>
        <vertAlign val="subscript"/>
        <sz val="11"/>
        <rFont val="ＭＳ Ｐ明朝"/>
        <family val="1"/>
      </rPr>
      <t>10</t>
    </r>
    <r>
      <rPr>
        <sz val="11"/>
        <rFont val="ＭＳ Ｐ明朝"/>
        <family val="1"/>
      </rPr>
      <t xml:space="preserve">K+2.0 </t>
    </r>
  </si>
  <si>
    <r>
      <t>風荷重：p</t>
    </r>
    <r>
      <rPr>
        <vertAlign val="subscript"/>
        <sz val="11"/>
        <rFont val="ＭＳ Ｐ明朝"/>
        <family val="1"/>
      </rPr>
      <t>2</t>
    </r>
  </si>
  <si>
    <r>
      <t>p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= 0.615 ・V</t>
    </r>
    <r>
      <rPr>
        <vertAlign val="subscript"/>
        <sz val="11"/>
        <rFont val="ＭＳ Ｐ明朝"/>
        <family val="1"/>
      </rPr>
      <t>Z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・C =</t>
    </r>
  </si>
  <si>
    <t>ｗ</t>
  </si>
  <si>
    <r>
      <t>L</t>
    </r>
    <r>
      <rPr>
        <vertAlign val="subscript"/>
        <sz val="10"/>
        <rFont val="ＭＳ Ｐ明朝"/>
        <family val="1"/>
      </rPr>
      <t>2</t>
    </r>
    <r>
      <rPr>
        <sz val="10"/>
        <rFont val="ＭＳ Ｐ明朝"/>
        <family val="1"/>
      </rPr>
      <t>=</t>
    </r>
  </si>
  <si>
    <r>
      <t>h</t>
    </r>
    <r>
      <rPr>
        <vertAlign val="subscript"/>
        <sz val="10"/>
        <rFont val="ＭＳ Ｐ明朝"/>
        <family val="1"/>
      </rPr>
      <t>2</t>
    </r>
    <r>
      <rPr>
        <sz val="10"/>
        <rFont val="ＭＳ Ｐ明朝"/>
        <family val="1"/>
      </rPr>
      <t>=</t>
    </r>
  </si>
  <si>
    <r>
      <t>L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=</t>
    </r>
  </si>
  <si>
    <r>
      <t>h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=</t>
    </r>
  </si>
  <si>
    <t>N /m</t>
  </si>
  <si>
    <t>＋</t>
  </si>
  <si>
    <t>N ・m</t>
  </si>
  <si>
    <t>Ｈ</t>
  </si>
  <si>
    <t>L</t>
  </si>
  <si>
    <t>Ｎ</t>
  </si>
  <si>
    <t>h=</t>
  </si>
  <si>
    <t>やらず</t>
  </si>
  <si>
    <t>＠</t>
  </si>
  <si>
    <t>c</t>
  </si>
  <si>
    <t>a=</t>
  </si>
  <si>
    <t>N = H × L/c</t>
  </si>
  <si>
    <r>
      <t>p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・b ・h</t>
    </r>
    <r>
      <rPr>
        <vertAlign val="superscript"/>
        <sz val="11"/>
        <rFont val="ＭＳ Ｐ明朝"/>
        <family val="1"/>
      </rPr>
      <t>2</t>
    </r>
  </si>
  <si>
    <t>×</t>
  </si>
  <si>
    <t>２</t>
  </si>
  <si>
    <t>×</t>
  </si>
  <si>
    <t>＝</t>
  </si>
  <si>
    <t>N</t>
  </si>
  <si>
    <t>Ｆ</t>
  </si>
  <si>
    <t>Λ</t>
  </si>
  <si>
    <t>1.3 Pa =</t>
  </si>
  <si>
    <t>φ48.6×2.4(STK500)</t>
  </si>
  <si>
    <t>□60×2.3(STKR400)</t>
  </si>
  <si>
    <t>□75×3.2(STKR400)</t>
  </si>
  <si>
    <t>L</t>
  </si>
  <si>
    <t>Λ＝</t>
  </si>
  <si>
    <t>□100×3.2(STKR400)</t>
  </si>
  <si>
    <t>r</t>
  </si>
  <si>
    <t>□60×2.3(STKR490)</t>
  </si>
  <si>
    <t>□75×3.2(STKR490)</t>
  </si>
  <si>
    <t>□100×3.2(STKR490)</t>
  </si>
  <si>
    <t>σca =</t>
  </si>
  <si>
    <r>
      <t>1 - 0.4(λ/Λ)</t>
    </r>
    <r>
      <rPr>
        <vertAlign val="superscript"/>
        <sz val="11"/>
        <rFont val="ＭＳ Ｐ明朝"/>
        <family val="1"/>
      </rPr>
      <t>2</t>
    </r>
  </si>
  <si>
    <t>=</t>
  </si>
  <si>
    <r>
      <t>N/mm</t>
    </r>
    <r>
      <rPr>
        <vertAlign val="superscript"/>
        <sz val="11"/>
        <rFont val="ＭＳ Ｐ明朝"/>
        <family val="1"/>
      </rPr>
      <t>2</t>
    </r>
  </si>
  <si>
    <r>
      <t>1.5 + 0.57(λ/Λ)</t>
    </r>
    <r>
      <rPr>
        <vertAlign val="superscript"/>
        <sz val="11"/>
        <rFont val="ＭＳ Ｐ明朝"/>
        <family val="1"/>
      </rPr>
      <t>2</t>
    </r>
  </si>
  <si>
    <r>
      <t>(λ/Λ)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</si>
  <si>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</t>
    </r>
  </si>
  <si>
    <t>1.3σca =</t>
  </si>
  <si>
    <t>×</t>
  </si>
  <si>
    <t>A</t>
  </si>
  <si>
    <r>
      <t>W</t>
    </r>
    <r>
      <rPr>
        <vertAlign val="subscript"/>
        <sz val="11"/>
        <rFont val="ＭＳ Ｐ明朝"/>
        <family val="1"/>
      </rPr>
      <t>2</t>
    </r>
  </si>
  <si>
    <r>
      <t>h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=</t>
    </r>
  </si>
  <si>
    <t>やらず</t>
  </si>
  <si>
    <t>＠</t>
  </si>
  <si>
    <r>
      <t>W</t>
    </r>
    <r>
      <rPr>
        <vertAlign val="subscript"/>
        <sz val="11"/>
        <rFont val="ＭＳ Ｐ明朝"/>
        <family val="1"/>
      </rPr>
      <t>1</t>
    </r>
  </si>
  <si>
    <r>
      <t>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=</t>
    </r>
  </si>
  <si>
    <t>a=</t>
  </si>
  <si>
    <t>H</t>
  </si>
  <si>
    <t xml:space="preserve"> =</t>
  </si>
  <si>
    <t>2 ・a</t>
  </si>
  <si>
    <t>=</t>
  </si>
  <si>
    <t>＋</t>
  </si>
  <si>
    <t>Ｆ</t>
  </si>
  <si>
    <t>Λ</t>
  </si>
  <si>
    <t>1.3Pa＝</t>
  </si>
  <si>
    <t>□75×3.2(STKR400)</t>
  </si>
  <si>
    <t>□100×3.2(STKR400)</t>
  </si>
  <si>
    <t>w</t>
  </si>
  <si>
    <t>P</t>
  </si>
  <si>
    <t>M</t>
  </si>
  <si>
    <t>σ</t>
  </si>
  <si>
    <t xml:space="preserve"> δ</t>
  </si>
  <si>
    <t>σa =</t>
  </si>
  <si>
    <t>P ･ L</t>
  </si>
  <si>
    <r>
      <t>w ･ L</t>
    </r>
    <r>
      <rPr>
        <vertAlign val="superscript"/>
        <sz val="11"/>
        <rFont val="ＭＳ Ｐ明朝"/>
        <family val="1"/>
      </rPr>
      <t>2</t>
    </r>
  </si>
  <si>
    <r>
      <t>P ･ L</t>
    </r>
    <r>
      <rPr>
        <vertAlign val="superscript"/>
        <sz val="11"/>
        <rFont val="ＭＳ Ｐ明朝"/>
        <family val="1"/>
      </rPr>
      <t>3</t>
    </r>
  </si>
  <si>
    <t>48 ･ E ･ I</t>
  </si>
  <si>
    <r>
      <t>5 ･ w ･ L</t>
    </r>
    <r>
      <rPr>
        <vertAlign val="superscript"/>
        <sz val="11"/>
        <rFont val="ＭＳ Ｐ明朝"/>
        <family val="1"/>
      </rPr>
      <t>4</t>
    </r>
  </si>
  <si>
    <t>384 ･ E ･ I</t>
  </si>
  <si>
    <t>δ</t>
  </si>
  <si>
    <t>FP =</t>
  </si>
  <si>
    <t>SF =</t>
  </si>
  <si>
    <t>Ta =</t>
  </si>
  <si>
    <t>T</t>
  </si>
  <si>
    <t>Ta  =</t>
  </si>
  <si>
    <t>C</t>
  </si>
  <si>
    <t xml:space="preserve">=   0.11  + </t>
  </si>
  <si>
    <t>=   0.11  +  0.945 C1 ・R</t>
  </si>
  <si>
    <t>鉛直力</t>
  </si>
  <si>
    <t>N = (</t>
  </si>
  <si>
    <t>張 力</t>
  </si>
  <si>
    <t xml:space="preserve">T = </t>
  </si>
  <si>
    <r>
      <t>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=</t>
    </r>
  </si>
  <si>
    <r>
      <t>h</t>
    </r>
    <r>
      <rPr>
        <vertAlign val="subscript"/>
        <sz val="11"/>
        <rFont val="ＭＳ Ｐ明朝"/>
        <family val="1"/>
      </rPr>
      <t xml:space="preserve">R </t>
    </r>
    <r>
      <rPr>
        <sz val="11"/>
        <rFont val="ＭＳ Ｐ明朝"/>
        <family val="1"/>
      </rPr>
      <t>=</t>
    </r>
  </si>
  <si>
    <r>
      <t>L</t>
    </r>
    <r>
      <rPr>
        <vertAlign val="subscript"/>
        <sz val="11"/>
        <rFont val="ＭＳ Ｐ明朝"/>
        <family val="1"/>
      </rPr>
      <t>Ｒ =</t>
    </r>
  </si>
  <si>
    <t>L =</t>
  </si>
  <si>
    <r>
      <t>w</t>
    </r>
    <r>
      <rPr>
        <vertAlign val="subscript"/>
        <sz val="11"/>
        <rFont val="ＭＳ Ｐ明朝"/>
        <family val="1"/>
      </rPr>
      <t>1</t>
    </r>
  </si>
  <si>
    <t>h</t>
  </si>
  <si>
    <t>1.3 Ｔａ =</t>
  </si>
  <si>
    <t>P  ・ h   +   w  ・ L</t>
  </si>
  <si>
    <r>
      <t>cosθ  ・ h</t>
    </r>
    <r>
      <rPr>
        <vertAlign val="subscript"/>
        <sz val="11"/>
        <rFont val="ＭＳ Ｐ明朝"/>
        <family val="1"/>
      </rPr>
      <t xml:space="preserve">R    </t>
    </r>
    <r>
      <rPr>
        <sz val="11"/>
        <rFont val="ＭＳ Ｐ明朝"/>
        <family val="1"/>
      </rPr>
      <t>+    sinθ  ・ L</t>
    </r>
    <r>
      <rPr>
        <vertAlign val="subscript"/>
        <sz val="11"/>
        <rFont val="ＭＳ Ｐ明朝"/>
        <family val="1"/>
      </rPr>
      <t>R</t>
    </r>
  </si>
  <si>
    <r>
      <t>分布荷重　　w  =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 xml:space="preserve"> ・ h  =</t>
    </r>
  </si>
  <si>
    <t>w'</t>
  </si>
  <si>
    <r>
      <t xml:space="preserve"> =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 xml:space="preserve"> ・ b  =</t>
    </r>
  </si>
  <si>
    <t>b =</t>
  </si>
  <si>
    <r>
      <t xml:space="preserve"> 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'</t>
    </r>
  </si>
  <si>
    <r>
      <t xml:space="preserve"> 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'</t>
    </r>
  </si>
  <si>
    <r>
      <t xml:space="preserve">  w</t>
    </r>
    <r>
      <rPr>
        <vertAlign val="subscript"/>
        <sz val="11"/>
        <rFont val="ＭＳ Ｐ明朝"/>
        <family val="1"/>
      </rPr>
      <t>2</t>
    </r>
  </si>
  <si>
    <r>
      <t xml:space="preserve"> =  p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 xml:space="preserve"> ・ b  =</t>
    </r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</si>
  <si>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' ･ L</t>
    </r>
    <r>
      <rPr>
        <vertAlign val="subscript"/>
        <sz val="11"/>
        <rFont val="ＭＳ Ｐ明朝"/>
        <family val="1"/>
      </rPr>
      <t>1</t>
    </r>
    <r>
      <rPr>
        <vertAlign val="superscript"/>
        <sz val="11"/>
        <rFont val="ＭＳ Ｐ明朝"/>
        <family val="1"/>
      </rPr>
      <t xml:space="preserve">2  </t>
    </r>
    <r>
      <rPr>
        <sz val="11"/>
        <rFont val="ＭＳ Ｐ明朝"/>
        <family val="1"/>
      </rPr>
      <t>+  2 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' ・L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・L</t>
    </r>
    <r>
      <rPr>
        <vertAlign val="subscript"/>
        <sz val="11"/>
        <rFont val="ＭＳ Ｐ明朝"/>
        <family val="1"/>
      </rPr>
      <t xml:space="preserve">2  </t>
    </r>
    <r>
      <rPr>
        <sz val="11"/>
        <rFont val="ＭＳ Ｐ明朝"/>
        <family val="1"/>
      </rPr>
      <t>+  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' ・L</t>
    </r>
    <r>
      <rPr>
        <vertAlign val="subscript"/>
        <sz val="11"/>
        <rFont val="ＭＳ Ｐ明朝"/>
        <family val="1"/>
      </rPr>
      <t>2</t>
    </r>
    <r>
      <rPr>
        <vertAlign val="superscript"/>
        <sz val="11"/>
        <rFont val="ＭＳ Ｐ明朝"/>
        <family val="1"/>
      </rPr>
      <t>2</t>
    </r>
  </si>
  <si>
    <t>λ</t>
  </si>
  <si>
    <t>σc</t>
  </si>
  <si>
    <t>2 ・ a</t>
  </si>
  <si>
    <t>Λ=</t>
  </si>
  <si>
    <t xml:space="preserve"> × F</t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</si>
  <si>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 xml:space="preserve"> =  p</t>
    </r>
    <r>
      <rPr>
        <vertAlign val="subscript"/>
        <sz val="11"/>
        <rFont val="ＭＳ Ｐ明朝"/>
        <family val="1"/>
      </rPr>
      <t xml:space="preserve">1 </t>
    </r>
    <r>
      <rPr>
        <sz val="11"/>
        <rFont val="ＭＳ Ｐ明朝"/>
        <family val="1"/>
      </rPr>
      <t xml:space="preserve"> ・ b  =</t>
    </r>
  </si>
  <si>
    <r>
      <t>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=  p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 xml:space="preserve"> ・ b  =</t>
    </r>
  </si>
  <si>
    <r>
      <t>w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･  h</t>
    </r>
    <r>
      <rPr>
        <vertAlign val="subscript"/>
        <sz val="11"/>
        <rFont val="ＭＳ Ｐ明朝"/>
        <family val="1"/>
      </rPr>
      <t>1</t>
    </r>
    <r>
      <rPr>
        <vertAlign val="superscript"/>
        <sz val="11"/>
        <rFont val="ＭＳ Ｐ明朝"/>
        <family val="1"/>
      </rPr>
      <t xml:space="preserve">2  </t>
    </r>
    <r>
      <rPr>
        <sz val="11"/>
        <rFont val="ＭＳ Ｐ明朝"/>
        <family val="1"/>
      </rPr>
      <t>+  2 w</t>
    </r>
    <r>
      <rPr>
        <vertAlign val="sub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>1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 xml:space="preserve">2  </t>
    </r>
    <r>
      <rPr>
        <sz val="11"/>
        <rFont val="ＭＳ Ｐ明朝"/>
        <family val="1"/>
      </rPr>
      <t>+  w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・ h</t>
    </r>
    <r>
      <rPr>
        <vertAlign val="subscript"/>
        <sz val="11"/>
        <rFont val="ＭＳ Ｐ明朝"/>
        <family val="1"/>
      </rPr>
      <t>2</t>
    </r>
    <r>
      <rPr>
        <vertAlign val="superscript"/>
        <sz val="11"/>
        <rFont val="ＭＳ Ｐ明朝"/>
        <family val="1"/>
      </rPr>
      <t>2</t>
    </r>
  </si>
  <si>
    <t>計算書中に記載</t>
  </si>
  <si>
    <t>表4.5　　地上Ｚ（ｍ）における瞬間風速分布係数　Ｓ</t>
  </si>
  <si>
    <t>地上からの高さ　　　　Ｚ（ｍ）</t>
  </si>
  <si>
    <t>地域区分</t>
  </si>
  <si>
    <t>地上からの高さ　　　　　　　Ｚ（ｍ）</t>
  </si>
  <si>
    <t>行番号</t>
  </si>
  <si>
    <t>地域Ⅰ海岸・海上</t>
  </si>
  <si>
    <t>地域Ⅱ草原・田園</t>
  </si>
  <si>
    <t>地域Ⅲ郊外・森</t>
  </si>
  <si>
    <t>地域Ⅳ一般市街地</t>
  </si>
  <si>
    <t>地域Ⅴ大都市市街地</t>
  </si>
  <si>
    <t>（行番号）</t>
  </si>
  <si>
    <t>（列番号）</t>
  </si>
  <si>
    <t>0m＜ h ≦10m</t>
  </si>
  <si>
    <t>35m＜ h ≦40m</t>
  </si>
  <si>
    <t>列　番　号</t>
  </si>
  <si>
    <t>表4.4　　台風時割り増し係数　Ｋｅ</t>
  </si>
  <si>
    <t>県名</t>
  </si>
  <si>
    <t>割り増し係数</t>
  </si>
  <si>
    <t>山口県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</si>
  <si>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</si>
  <si>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</si>
  <si>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</si>
  <si>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</si>
  <si>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</si>
  <si>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</si>
  <si>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</si>
  <si>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</si>
  <si>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なしの都道府県</t>
  </si>
  <si>
    <t>あり</t>
  </si>
  <si>
    <t>なし</t>
  </si>
  <si>
    <t>近接高層建築物による割り増し係数</t>
  </si>
  <si>
    <r>
      <t>E</t>
    </r>
    <r>
      <rPr>
        <vertAlign val="subscript"/>
        <sz val="11"/>
        <rFont val="ＭＳ Ｐ明朝"/>
        <family val="1"/>
      </rPr>
      <t>B</t>
    </r>
    <r>
      <rPr>
        <sz val="11"/>
        <rFont val="ＭＳ Ｐ明朝"/>
        <family val="1"/>
      </rPr>
      <t>：近接高層建築物による割り増し係数決定用条件</t>
    </r>
  </si>
  <si>
    <t>高層建築からの　　至近距離条件</t>
  </si>
  <si>
    <r>
      <t>割り増し係数　　　　E</t>
    </r>
    <r>
      <rPr>
        <vertAlign val="subscript"/>
        <sz val="10"/>
        <rFont val="ＭＳ Ｐ明朝"/>
        <family val="1"/>
      </rPr>
      <t>B</t>
    </r>
  </si>
  <si>
    <t>注釈文</t>
  </si>
  <si>
    <t>a1～a4</t>
  </si>
  <si>
    <t>r1～r4</t>
  </si>
  <si>
    <t>E1～E4</t>
  </si>
  <si>
    <t>L1～L4</t>
  </si>
  <si>
    <r>
      <t>L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＜L</t>
    </r>
  </si>
  <si>
    <t>建築物の影響を受けない）</t>
  </si>
  <si>
    <r>
      <t>L</t>
    </r>
    <r>
      <rPr>
        <vertAlign val="subscript"/>
        <sz val="11"/>
        <rFont val="ＭＳ Ｐ明朝"/>
        <family val="1"/>
      </rPr>
      <t>2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1</t>
    </r>
  </si>
  <si>
    <t>建築物の影響条件　L2＜L≦L1）</t>
  </si>
  <si>
    <r>
      <t>L</t>
    </r>
    <r>
      <rPr>
        <vertAlign val="subscript"/>
        <sz val="11"/>
        <rFont val="ＭＳ Ｐ明朝"/>
        <family val="1"/>
      </rPr>
      <t>3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2</t>
    </r>
  </si>
  <si>
    <t>建築物の影響条件　L3＜L≦L2）</t>
  </si>
  <si>
    <r>
      <t>L</t>
    </r>
    <r>
      <rPr>
        <vertAlign val="subscript"/>
        <sz val="11"/>
        <rFont val="ＭＳ Ｐ明朝"/>
        <family val="1"/>
      </rPr>
      <t>4</t>
    </r>
    <r>
      <rPr>
        <sz val="11"/>
        <rFont val="ＭＳ Ｐ明朝"/>
        <family val="1"/>
      </rPr>
      <t>＜L≦L</t>
    </r>
    <r>
      <rPr>
        <vertAlign val="subscript"/>
        <sz val="11"/>
        <rFont val="ＭＳ Ｐ明朝"/>
        <family val="1"/>
      </rPr>
      <t>3</t>
    </r>
  </si>
  <si>
    <t>建築物の影響条件　L4＜L≦L3）</t>
  </si>
  <si>
    <r>
      <t>V</t>
    </r>
    <r>
      <rPr>
        <vertAlign val="subscript"/>
        <sz val="11"/>
        <rFont val="ＭＳ Ｐ明朝"/>
        <family val="1"/>
      </rPr>
      <t xml:space="preserve">Z </t>
    </r>
    <r>
      <rPr>
        <sz val="11"/>
        <rFont val="ＭＳ Ｐ明朝"/>
        <family val="1"/>
      </rPr>
      <t>= V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>・K</t>
    </r>
    <r>
      <rPr>
        <vertAlign val="subscript"/>
        <sz val="11"/>
        <rFont val="ＭＳ Ｐ明朝"/>
        <family val="1"/>
      </rPr>
      <t>e</t>
    </r>
    <r>
      <rPr>
        <sz val="11"/>
        <rFont val="ＭＳ Ｐ明朝"/>
        <family val="1"/>
      </rPr>
      <t>・S・E</t>
    </r>
    <r>
      <rPr>
        <vertAlign val="subscript"/>
        <sz val="11"/>
        <rFont val="ＭＳ Ｐ明朝"/>
        <family val="1"/>
      </rPr>
      <t xml:space="preserve">B </t>
    </r>
    <r>
      <rPr>
        <sz val="11"/>
        <rFont val="ＭＳ Ｐ明朝"/>
        <family val="1"/>
      </rPr>
      <t>=</t>
    </r>
  </si>
  <si>
    <t>×</t>
  </si>
  <si>
    <t>=</t>
  </si>
  <si>
    <t>m/s</t>
  </si>
  <si>
    <r>
      <t>V</t>
    </r>
    <r>
      <rPr>
        <vertAlign val="subscript"/>
        <sz val="11"/>
        <rFont val="ＭＳ Ｐ明朝"/>
        <family val="1"/>
      </rPr>
      <t>0</t>
    </r>
  </si>
  <si>
    <t>（</t>
  </si>
  <si>
    <t>（</t>
  </si>
  <si>
    <t>Ke</t>
  </si>
  <si>
    <t>台風時割り増し係数</t>
  </si>
  <si>
    <t>）</t>
  </si>
  <si>
    <t>S</t>
  </si>
  <si>
    <r>
      <t>E</t>
    </r>
    <r>
      <rPr>
        <vertAlign val="subscript"/>
        <sz val="11"/>
        <rFont val="ＭＳ Ｐ明朝"/>
        <family val="1"/>
      </rPr>
      <t>B</t>
    </r>
  </si>
  <si>
    <t>近接高層建築物</t>
  </si>
  <si>
    <t>足場</t>
  </si>
  <si>
    <t>注）上記各係数等の各値は「足場工・防護工</t>
  </si>
  <si>
    <t>の施工計画の手引き」第４章を参照</t>
  </si>
  <si>
    <t>H</t>
  </si>
  <si>
    <r>
      <t>V</t>
    </r>
    <r>
      <rPr>
        <vertAlign val="subscript"/>
        <sz val="11"/>
        <rFont val="ＭＳ Ｐ明朝"/>
        <family val="1"/>
      </rPr>
      <t>0</t>
    </r>
  </si>
  <si>
    <t>：基準風速　　表4.3に示す地域</t>
  </si>
  <si>
    <t>Z</t>
  </si>
  <si>
    <t>を除き 14m/s とする。</t>
  </si>
  <si>
    <t>：台風時割り増し係数</t>
  </si>
  <si>
    <t>　　表4.4 に示す値とする。</t>
  </si>
  <si>
    <t>L</t>
  </si>
  <si>
    <t>S</t>
  </si>
  <si>
    <t>：瞬間風速分布係数</t>
  </si>
  <si>
    <t>D</t>
  </si>
  <si>
    <t>　　表4.5 に示す値とする。</t>
  </si>
  <si>
    <t>L=</t>
  </si>
  <si>
    <t>m</t>
  </si>
  <si>
    <r>
      <t>E</t>
    </r>
    <r>
      <rPr>
        <vertAlign val="subscript"/>
        <sz val="11"/>
        <rFont val="ＭＳ Ｐ明朝"/>
        <family val="1"/>
      </rPr>
      <t>B</t>
    </r>
  </si>
  <si>
    <t>：近接高層建築物による割り増し係数</t>
  </si>
  <si>
    <t>H=</t>
  </si>
  <si>
    <t>m</t>
  </si>
  <si>
    <t>　　（７）項（５２頁）により求める。</t>
  </si>
  <si>
    <t>W=</t>
  </si>
  <si>
    <t>D=</t>
  </si>
  <si>
    <t>W</t>
  </si>
  <si>
    <t>Z≦H/2</t>
  </si>
  <si>
    <t>10m＜ h ≦20m</t>
  </si>
  <si>
    <t>10m＜ h ≦20m</t>
  </si>
  <si>
    <t>20m＜ h ≦35m</t>
  </si>
  <si>
    <t>40m＜ h ≦50m</t>
  </si>
  <si>
    <t>50m＜ h ≦55m</t>
  </si>
  <si>
    <t>55m＜ h ≦70m</t>
  </si>
  <si>
    <t>70m＜ h ≦100m</t>
  </si>
  <si>
    <t>あり</t>
  </si>
  <si>
    <t>②風力係数：C</t>
  </si>
  <si>
    <t>＋</t>
  </si>
  <si>
    <t>φ　=</t>
  </si>
  <si>
    <t>φ= 1　なので</t>
  </si>
  <si>
    <t>C1 = 2</t>
  </si>
  <si>
    <r>
      <t>R　= 0.5813 + 0.013 α - 0.0001 α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　=</t>
    </r>
  </si>
  <si>
    <t xml:space="preserve">α　= L / B = </t>
  </si>
  <si>
    <t>=</t>
  </si>
  <si>
    <r>
      <t>p1= 0.615  ・ V</t>
    </r>
    <r>
      <rPr>
        <vertAlign val="subscript"/>
        <sz val="11"/>
        <rFont val="ＭＳ Ｐ明朝"/>
        <family val="1"/>
      </rPr>
      <t>Z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  ・ C =</t>
    </r>
  </si>
  <si>
    <t>○</t>
  </si>
  <si>
    <t>.基準風速 Vo  決定表</t>
  </si>
  <si>
    <t>該当欄に○印を記入する</t>
  </si>
  <si>
    <t>決定基準風速(m/s)  =</t>
  </si>
  <si>
    <t>地方</t>
  </si>
  <si>
    <t>基準風速(m/s)</t>
  </si>
  <si>
    <t>地　　　域</t>
  </si>
  <si>
    <t>該当</t>
  </si>
  <si>
    <t>○</t>
  </si>
  <si>
    <t>×</t>
  </si>
  <si>
    <t>　北海道</t>
  </si>
  <si>
    <t>宗谷支庁（18ｍ/s地域を除く全域）、上川支庁（中川郡）、十勝支庁全域</t>
  </si>
  <si>
    <t>空知支庁全域、石狩支庁全域、後志支庁（20m/s並びに18m/s地域を除く全域）</t>
  </si>
  <si>
    <r>
      <t>網走支庁（20</t>
    </r>
    <r>
      <rPr>
        <sz val="10"/>
        <rFont val="ＭＳ Ｐゴシック"/>
        <family val="3"/>
      </rPr>
      <t>m/s</t>
    </r>
    <r>
      <rPr>
        <sz val="10"/>
        <rFont val="ＭＳ Ｐゴシック"/>
        <family val="3"/>
      </rPr>
      <t>並びに</t>
    </r>
    <r>
      <rPr>
        <sz val="10"/>
        <rFont val="ＭＳ Ｐゴシック"/>
        <family val="3"/>
      </rPr>
      <t>18m/s</t>
    </r>
    <r>
      <rPr>
        <sz val="10"/>
        <rFont val="ＭＳ Ｐゴシック"/>
        <family val="3"/>
      </rPr>
      <t>地域を除く全域）</t>
    </r>
  </si>
  <si>
    <t>宗谷支庁（稚内市、天塩郡、礼文郡、利尻郡）、留崩支庁全域、網走支庁（斜里郡）</t>
  </si>
  <si>
    <r>
      <t>根室支庁（20m/s地域を除く全域）、釧路支庁全域、日高支庁（</t>
    </r>
    <r>
      <rPr>
        <sz val="10"/>
        <rFont val="ＭＳ Ｐゴシック"/>
        <family val="3"/>
      </rPr>
      <t>20m/s</t>
    </r>
    <r>
      <rPr>
        <sz val="10"/>
        <rFont val="ＭＳ Ｐゴシック"/>
        <family val="3"/>
      </rPr>
      <t>地域を除く全域）</t>
    </r>
  </si>
  <si>
    <t>北海道</t>
  </si>
  <si>
    <t>後志支庁（島牧郡）、胆振支庁全域、渡島支庁全域、桧山支庁（20m/s地域を除く全域）</t>
  </si>
  <si>
    <t>網走支庁（紋別郡、雄武郡、興武町）、根室支庁（根室市）</t>
  </si>
  <si>
    <t>日高支庁（三石郡、浦河郡、様似郡、幌泉郡）、後志支庁（寿都郡）、桧山支庁（桧山郡）</t>
  </si>
  <si>
    <t>東北</t>
  </si>
  <si>
    <t>福島県（白河市、須賀川市、岩瀬郡、西白河郡）</t>
  </si>
  <si>
    <t>青森県全域、岩手県全域、宮城県全域、</t>
  </si>
  <si>
    <t>秋田県（20m/s地域を除く全域）</t>
  </si>
  <si>
    <t>関東</t>
  </si>
  <si>
    <t>山形県（酒田市、鶴岡市、飽海郡、東田川郡、西田川郡）</t>
  </si>
  <si>
    <t>秋田県（秋田市、本庄市、由利郡）</t>
  </si>
  <si>
    <t>　　関東</t>
  </si>
  <si>
    <t>茨城県（鹿島郡、行方郡、稲敷郡、竜ケ崎市、北相馬郡、東茨城郡、新治郡、石岡市、</t>
  </si>
  <si>
    <t>北陸・中部</t>
  </si>
  <si>
    <t>　　土浦市、取手市）</t>
  </si>
  <si>
    <t>栃木県（那須郡、黒磯市）</t>
  </si>
  <si>
    <t>近畿</t>
  </si>
  <si>
    <t>群馬県（利根郡、勢多郡、山田郡、桐生市、前橋市、高崎市、伊勢崎市、佐波郡、新田郡</t>
  </si>
  <si>
    <t>　　太田市、邑楽郡、館林市、沼田市）</t>
  </si>
  <si>
    <t>中国</t>
  </si>
  <si>
    <t>埼玉県（秩父市、飯能市、秩父郡、入間郡、児玉郡を除く全域）</t>
  </si>
  <si>
    <t>千葉県（安房郡、館山市、鴨川市）、東京都（20m/s並びに18m/s地域を除く全域）</t>
  </si>
  <si>
    <t>四国</t>
  </si>
  <si>
    <t>神奈川県（18m/s地域を除く全域）</t>
  </si>
  <si>
    <t>千葉県（銚子市、安房郡、館山市、鴨川市を除く全域）</t>
  </si>
  <si>
    <t>東京都（23区内）</t>
  </si>
  <si>
    <t>九州</t>
  </si>
  <si>
    <t>神奈川県（川崎市、横浜市、横須賀市、逗子市、鎌倉市、三浦市、三浦郡）</t>
  </si>
  <si>
    <t>千葉県（銚子市）</t>
  </si>
  <si>
    <t>沖縄</t>
  </si>
  <si>
    <t>東京都（大島支庁、三宅支庁、八丈支庁、小笠原支庁）</t>
  </si>
  <si>
    <t>その他</t>
  </si>
  <si>
    <t>北陸・中部</t>
  </si>
  <si>
    <t>新潟県（18m/s地域を除く全域）</t>
  </si>
  <si>
    <t>○印の個数</t>
  </si>
  <si>
    <t>富山県全域</t>
  </si>
  <si>
    <t>山梨県全域</t>
  </si>
  <si>
    <t>岐阜県（不破郡、養老郡）</t>
  </si>
  <si>
    <t>静岡県（18m/s地域を除く全域）</t>
  </si>
  <si>
    <t>愛知県（18m/s地域を除く全域）</t>
  </si>
  <si>
    <t>三重県（18m/s地域を除く全域）</t>
  </si>
  <si>
    <t>新潟県(岩船郡、村上市、北蒲原郡、新発田市、豊栄市、新潟市、新津市、五泉市、</t>
  </si>
  <si>
    <t>　　白根市、燕市、西蒲原郡、三島郡、両津市、佐渡郡）</t>
  </si>
  <si>
    <t>石川県（輪島市、珠洲市、珠洲郡鳳至郡、鹿島郡、七尾市、羽昨市、羽昨郡）</t>
  </si>
  <si>
    <t>静岡県（小笠郡、榛原郡の内、御前崎町、相良町、吉田町、榛原町）</t>
  </si>
  <si>
    <t>愛知県（渥美郡）</t>
  </si>
  <si>
    <t>三重県（津市、久居市、松阪市、伊勢市、鳥羽市、志摩郡、一志郡、多気郡、度会郡）</t>
  </si>
  <si>
    <t>滋賀県全域</t>
  </si>
  <si>
    <t>大阪府全域</t>
  </si>
  <si>
    <t>兵庫県（伊丹市、宝塚市、川西市、川辺郡、三田市、美襄郡、加東郡、西脇市、三木市</t>
  </si>
  <si>
    <t>　　小野市、加西市、多可郡、神崎郡、飾磨郡、揖保郡、竜野市、相生市、赤穂市、</t>
  </si>
  <si>
    <t>　　赤穂郡、津名郡、洲木市、三原郡）</t>
  </si>
  <si>
    <t>和歌山県（18m/s地域を除く全域）</t>
  </si>
  <si>
    <t>兵庫県（尼崎市、西宮市、芦屋市、神戸市、明石市、加古郡、加古川市、高砂市、</t>
  </si>
  <si>
    <t>　　印南郡、姫路市）</t>
  </si>
  <si>
    <t>和歌山県（和歌山市、海草郡、有田市、海南市）</t>
  </si>
  <si>
    <t>鳥取県全域</t>
  </si>
  <si>
    <t>山口県（阿武郡、萩市、大津郡、長門市、豊浦郡、下関市、厚峡郡、小野田市、宇部市）</t>
  </si>
  <si>
    <t>島根県全域</t>
  </si>
  <si>
    <t>徳島県（鳴門市、板野郡）</t>
  </si>
  <si>
    <t>香川県全域</t>
  </si>
  <si>
    <t>愛媛県（南宇部郡、北宇部郡、宇和島市、東宇和郡、西宇和郡、八幡浜市、</t>
  </si>
  <si>
    <t>　　喜多郡長浜町、大洲市）</t>
  </si>
  <si>
    <t>徳島県（徳島市、小松島市、那賀郡、阿南市、海部郡）</t>
  </si>
  <si>
    <t>高知県（安芸市、安芸郡、幡多郡、中村市、土佐清水市、宿毛市）</t>
  </si>
  <si>
    <t>高知県（室戸市）</t>
  </si>
  <si>
    <t>福岡県（北九州市、中間市、京都郡苅田町、行橋市、遠賀郡）</t>
  </si>
  <si>
    <t>長崎県（平戸市、松浦市、北松浦郡、壱岐郡、上県郡、下県郡）</t>
  </si>
  <si>
    <t>宮崎県（宮崎市、宮崎郡、南那阿郡、日南市、串間市）</t>
  </si>
  <si>
    <t>鹿児島県（肝属郡、鹿屋市、曽於郡、揖宿市、指宿郡、川辺郡、枕崎市、加世田市</t>
  </si>
  <si>
    <t>　　大島郡、名瀬市）</t>
  </si>
  <si>
    <t>長崎県（南松浦郡、福江市）</t>
  </si>
  <si>
    <t>鹿児島県(薩南諸島の大島郡、名瀬市以外）</t>
  </si>
  <si>
    <t>沖縄県全域</t>
  </si>
  <si>
    <t>上記外の地域</t>
  </si>
  <si>
    <t>基準風速　施工地</t>
  </si>
  <si>
    <t>　○○県△△郡</t>
  </si>
  <si>
    <t>やらず</t>
  </si>
  <si>
    <r>
      <t>活荷重　</t>
    </r>
    <r>
      <rPr>
        <sz val="11"/>
        <rFont val="ＭＳ Ｐゴシック"/>
        <family val="3"/>
      </rPr>
      <t>単位：Ｎ　　　　ただし、ワイヤーブリッジの単位は（Ｎ/ｍ）</t>
    </r>
  </si>
  <si>
    <t>名　称</t>
  </si>
  <si>
    <t>載荷条件</t>
  </si>
  <si>
    <t>作業員　　　（Ｎ）</t>
  </si>
  <si>
    <t>運搬物　　　（Ｎ）</t>
  </si>
  <si>
    <t>衝撃２０％　　　（Ｎ）</t>
  </si>
  <si>
    <t>計　　　　　　（Ｎ,N/m）</t>
  </si>
  <si>
    <t>備　　　　考</t>
  </si>
  <si>
    <t>主体足場</t>
  </si>
  <si>
    <t>１箇所当り　　　１人</t>
  </si>
  <si>
    <t>着目部材の最も不利な箇所に載荷する。</t>
  </si>
  <si>
    <t>昇降階段</t>
  </si>
  <si>
    <t>１基当り　　　１０人</t>
  </si>
  <si>
    <t>高さにかかわらず、10人が階段に添って分散載荷する。</t>
  </si>
  <si>
    <t>部分階段</t>
  </si>
  <si>
    <t>足場板１枚当り　　１人</t>
  </si>
  <si>
    <t>頂部おやごの照査では1.5人の作業員荷重を見込む。</t>
  </si>
  <si>
    <t>ワイヤーブリッジ</t>
  </si>
  <si>
    <t>１通路当り　　１人/３m</t>
  </si>
  <si>
    <t>等分布荷重</t>
  </si>
  <si>
    <t>１人の作業員が物を持っていく足場</t>
  </si>
  <si>
    <t>N</t>
  </si>
  <si>
    <t>作　業　員　数</t>
  </si>
  <si>
    <t>作　業　員　重　さ</t>
  </si>
  <si>
    <t>衝　撃　荷　重　（２０％）</t>
  </si>
  <si>
    <t>計</t>
  </si>
  <si>
    <t>運搬物重さ</t>
  </si>
  <si>
    <t>２人の作業員がボルトの本締め等の作業をする足場</t>
  </si>
  <si>
    <t>小道具重さ</t>
  </si>
  <si>
    <t>□100×3.2(STKR400)</t>
  </si>
  <si>
    <t>□75×3.2(STKR400)</t>
  </si>
  <si>
    <t>)</t>
  </si>
  <si>
    <t>２．概略断面図</t>
  </si>
  <si>
    <t>３．荷　　重</t>
  </si>
  <si>
    <t>４．足場板</t>
  </si>
  <si>
    <t>５．ころばし</t>
  </si>
  <si>
    <t>６．おやご</t>
  </si>
  <si>
    <t>７．足場チェーン</t>
  </si>
  <si>
    <t>８.朝顔足場（ネット張り）</t>
  </si>
  <si>
    <t>9.朝顔チェーン</t>
  </si>
  <si>
    <t>10.　布</t>
  </si>
  <si>
    <t>11.　建地</t>
  </si>
  <si>
    <t>12.　やらず</t>
  </si>
  <si>
    <t>赤い文字を変更する</t>
  </si>
  <si>
    <t>（７）吊り用チン</t>
  </si>
  <si>
    <t>265以下</t>
  </si>
  <si>
    <t>300以上</t>
  </si>
  <si>
    <t>ｒ</t>
  </si>
  <si>
    <t>材質</t>
  </si>
  <si>
    <t>溶接</t>
  </si>
  <si>
    <t>曲げ半径(ｒ)=1φ</t>
  </si>
  <si>
    <t>曲げ加工は加熱せず</t>
  </si>
  <si>
    <t>に行なう</t>
  </si>
  <si>
    <t>SR235</t>
  </si>
  <si>
    <t>13.　吊り用チン</t>
  </si>
  <si>
    <t>ｒ</t>
  </si>
  <si>
    <t>SR235</t>
  </si>
  <si>
    <t>SD295</t>
  </si>
  <si>
    <t>SD345</t>
  </si>
  <si>
    <t>D16</t>
  </si>
  <si>
    <t>D19</t>
  </si>
  <si>
    <t>本数</t>
  </si>
  <si>
    <t>D22</t>
  </si>
  <si>
    <t>D25</t>
  </si>
  <si>
    <t>降伏耐力</t>
  </si>
  <si>
    <t>Ta =</t>
  </si>
  <si>
    <t>N</t>
  </si>
  <si>
    <t>吊り用チンに掛かる荷重</t>
  </si>
  <si>
    <t>朝顔チェーン②のみ</t>
  </si>
  <si>
    <t>Ta =</t>
  </si>
  <si>
    <t>D16</t>
  </si>
  <si>
    <t>(９.朝顔チェーン参照）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</si>
</sst>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_);[Red]\(0.000\)"/>
    <numFmt numFmtId="197" formatCode="0.00_);[Red]\(0.00\)"/>
    <numFmt numFmtId="198" formatCode="0_);[Red]\(0\)"/>
    <numFmt numFmtId="199" formatCode="0_ "/>
    <numFmt numFmtId="200" formatCode="#,##0_ "/>
    <numFmt numFmtId="201" formatCode="#,##0_);[Red]\(#,##0\)"/>
    <numFmt numFmtId="202" formatCode="#,##0.0_);[Red]\(#,##0.0\)"/>
    <numFmt numFmtId="203" formatCode="#,##0.0_ "/>
    <numFmt numFmtId="204" formatCode="0.0_ "/>
    <numFmt numFmtId="205" formatCode="#,##0.000_);[Red]\(#,##0.000\)"/>
    <numFmt numFmtId="206" formatCode="0.0000000_);[Red]\(0.0000000\)"/>
    <numFmt numFmtId="207" formatCode="0.00000_);[Red]\(0.00000\)"/>
    <numFmt numFmtId="208" formatCode="0.0_);[Red]\(0.0\)"/>
    <numFmt numFmtId="209" formatCode="0.00_ "/>
    <numFmt numFmtId="210" formatCode="0.000_ "/>
    <numFmt numFmtId="211" formatCode="#,##0.00_);[Red]\(#,##0.00\)"/>
    <numFmt numFmtId="212" formatCode="#,##0.00_ "/>
    <numFmt numFmtId="213" formatCode="#,##0.0000_ "/>
    <numFmt numFmtId="214" formatCode="#,##0.0000_);[Red]\(#,##0.0000\)"/>
    <numFmt numFmtId="215" formatCode="0.00000_ "/>
    <numFmt numFmtId="216" formatCode="#,##0.000_ 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;[Red]\-#,##0.0"/>
    <numFmt numFmtId="223" formatCode="#,##0.000;[Red]\-#,##0.000"/>
    <numFmt numFmtId="224" formatCode="0;_怀"/>
    <numFmt numFmtId="225" formatCode="#,##0_);\(#,##0\)"/>
    <numFmt numFmtId="226" formatCode="0&quot;人&quot;"/>
    <numFmt numFmtId="227" formatCode="0&quot;kg&quot;"/>
    <numFmt numFmtId="228" formatCode="0&quot;N&quot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10"/>
      <name val="明朝"/>
      <family val="1"/>
    </font>
    <font>
      <sz val="11"/>
      <color indexed="12"/>
      <name val="明朝"/>
      <family val="1"/>
    </font>
    <font>
      <sz val="11"/>
      <color indexed="8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"/>
      <name val="ＭＳ Ｐ明朝"/>
      <family val="1"/>
    </font>
    <font>
      <sz val="18"/>
      <color indexed="10"/>
      <name val="ＭＳ Ｐ明朝"/>
      <family val="1"/>
    </font>
    <font>
      <vertAlign val="superscript"/>
      <sz val="11"/>
      <color indexed="12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6"/>
      <color indexed="10"/>
      <name val="ＭＳ Ｐ明朝"/>
      <family val="1"/>
    </font>
    <font>
      <vertAlign val="subscript"/>
      <sz val="11"/>
      <name val="ＭＳ Ｐ明朝"/>
      <family val="1"/>
    </font>
    <font>
      <sz val="12"/>
      <name val="ＭＳ Ｐ明朝"/>
      <family val="1"/>
    </font>
    <font>
      <vertAlign val="subscript"/>
      <sz val="10"/>
      <name val="ＭＳ Ｐ明朝"/>
      <family val="1"/>
    </font>
    <font>
      <sz val="6"/>
      <name val="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6"/>
      <color indexed="12"/>
      <name val="ＭＳ Ｐゴシック"/>
      <family val="3"/>
    </font>
    <font>
      <sz val="16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b/>
      <sz val="14"/>
      <name val="ＭＳ Ｐ明朝"/>
      <family val="1"/>
    </font>
    <font>
      <b/>
      <sz val="16"/>
      <color indexed="10"/>
      <name val="ＭＳ Ｐゴシック"/>
      <family val="3"/>
    </font>
    <font>
      <sz val="9"/>
      <name val="明朝"/>
      <family val="1"/>
    </font>
    <font>
      <b/>
      <sz val="8"/>
      <name val="明朝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>
      <alignment vertical="center"/>
      <protection/>
    </xf>
    <xf numFmtId="0" fontId="31" fillId="0" borderId="0">
      <alignment/>
      <protection/>
    </xf>
    <xf numFmtId="0" fontId="9" fillId="0" borderId="0" applyNumberFormat="0" applyFill="0" applyBorder="0" applyAlignment="0" applyProtection="0"/>
  </cellStyleXfs>
  <cellXfs count="90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00" fontId="0" fillId="0" borderId="0" xfId="0" applyNumberFormat="1" applyBorder="1" applyAlignment="1" applyProtection="1">
      <alignment horizontal="center" vertical="center"/>
      <protection locked="0"/>
    </xf>
    <xf numFmtId="203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vertical="center"/>
    </xf>
    <xf numFmtId="185" fontId="5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/>
    </xf>
    <xf numFmtId="201" fontId="12" fillId="0" borderId="0" xfId="0" applyNumberFormat="1" applyFont="1" applyBorder="1" applyAlignment="1" applyProtection="1">
      <alignment horizontal="center" vertical="center"/>
      <protection/>
    </xf>
    <xf numFmtId="204" fontId="12" fillId="0" borderId="0" xfId="0" applyNumberFormat="1" applyFont="1" applyBorder="1" applyAlignment="1" applyProtection="1">
      <alignment horizontal="center" vertical="center"/>
      <protection/>
    </xf>
    <xf numFmtId="200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201" fontId="12" fillId="0" borderId="0" xfId="0" applyNumberFormat="1" applyFont="1" applyBorder="1" applyAlignment="1" applyProtection="1">
      <alignment vertical="center"/>
      <protection/>
    </xf>
    <xf numFmtId="1" fontId="12" fillId="0" borderId="1" xfId="0" applyNumberFormat="1" applyFont="1" applyBorder="1" applyAlignment="1" applyProtection="1">
      <alignment vertical="center"/>
      <protection/>
    </xf>
    <xf numFmtId="1" fontId="12" fillId="0" borderId="1" xfId="0" applyNumberFormat="1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0" xfId="0" applyNumberFormat="1" applyFont="1" applyBorder="1" applyAlignment="1" applyProtection="1">
      <alignment vertical="center"/>
      <protection/>
    </xf>
    <xf numFmtId="1" fontId="12" fillId="0" borderId="0" xfId="0" applyNumberFormat="1" applyFont="1" applyBorder="1" applyAlignment="1" applyProtection="1" quotePrefix="1">
      <alignment horizontal="center" vertical="center"/>
      <protection/>
    </xf>
    <xf numFmtId="184" fontId="12" fillId="0" borderId="0" xfId="0" applyNumberFormat="1" applyFont="1" applyBorder="1" applyAlignment="1" applyProtection="1" quotePrefix="1">
      <alignment horizontal="right" vertical="center"/>
      <protection/>
    </xf>
    <xf numFmtId="2" fontId="12" fillId="0" borderId="0" xfId="0" applyNumberFormat="1" applyFont="1" applyBorder="1" applyAlignment="1" applyProtection="1">
      <alignment horizontal="right" vertical="center"/>
      <protection/>
    </xf>
    <xf numFmtId="184" fontId="12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center" textRotation="90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184" fontId="10" fillId="0" borderId="0" xfId="0" applyNumberFormat="1" applyFont="1" applyFill="1" applyBorder="1" applyAlignment="1" applyProtection="1">
      <alignment horizontal="left" vertical="center"/>
      <protection/>
    </xf>
    <xf numFmtId="184" fontId="12" fillId="0" borderId="0" xfId="0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 vertical="center"/>
      <protection/>
    </xf>
    <xf numFmtId="208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202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vertical="center"/>
      <protection/>
    </xf>
    <xf numFmtId="1" fontId="10" fillId="0" borderId="0" xfId="0" applyNumberFormat="1" applyFont="1" applyBorder="1" applyAlignment="1" applyProtection="1">
      <alignment horizontal="right" vertical="center" textRotation="90"/>
      <protection/>
    </xf>
    <xf numFmtId="1" fontId="10" fillId="0" borderId="0" xfId="0" applyNumberFormat="1" applyFont="1" applyBorder="1" applyAlignment="1" applyProtection="1">
      <alignment vertical="center"/>
      <protection/>
    </xf>
    <xf numFmtId="200" fontId="12" fillId="0" borderId="0" xfId="0" applyNumberFormat="1" applyFont="1" applyBorder="1" applyAlignment="1" applyProtection="1">
      <alignment vertical="center"/>
      <protection/>
    </xf>
    <xf numFmtId="201" fontId="11" fillId="0" borderId="0" xfId="0" applyNumberFormat="1" applyFont="1" applyBorder="1" applyAlignment="1" applyProtection="1">
      <alignment horizontal="right" vertical="center"/>
      <protection/>
    </xf>
    <xf numFmtId="201" fontId="10" fillId="0" borderId="3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184" fontId="11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horizontal="centerContinuous" vertical="center"/>
      <protection/>
    </xf>
    <xf numFmtId="0" fontId="10" fillId="0" borderId="5" xfId="0" applyFont="1" applyBorder="1" applyAlignment="1" applyProtection="1" quotePrefix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201" fontId="12" fillId="0" borderId="0" xfId="0" applyNumberFormat="1" applyFont="1" applyBorder="1" applyAlignment="1" applyProtection="1">
      <alignment horizontal="right" vertical="center"/>
      <protection/>
    </xf>
    <xf numFmtId="0" fontId="10" fillId="0" borderId="6" xfId="0" applyFont="1" applyBorder="1" applyAlignment="1" applyProtection="1">
      <alignment horizontal="centerContinuous" vertical="center"/>
      <protection/>
    </xf>
    <xf numFmtId="204" fontId="10" fillId="0" borderId="7" xfId="0" applyNumberFormat="1" applyFont="1" applyBorder="1" applyAlignment="1" applyProtection="1">
      <alignment vertical="center"/>
      <protection/>
    </xf>
    <xf numFmtId="200" fontId="10" fillId="0" borderId="8" xfId="0" applyNumberFormat="1" applyFont="1" applyBorder="1" applyAlignment="1" applyProtection="1">
      <alignment horizontal="center" vertical="center"/>
      <protection/>
    </xf>
    <xf numFmtId="200" fontId="10" fillId="0" borderId="8" xfId="0" applyNumberFormat="1" applyFont="1" applyBorder="1" applyAlignment="1" applyProtection="1">
      <alignment vertical="center"/>
      <protection/>
    </xf>
    <xf numFmtId="200" fontId="10" fillId="0" borderId="9" xfId="0" applyNumberFormat="1" applyFont="1" applyBorder="1" applyAlignment="1" applyProtection="1">
      <alignment horizontal="center" vertical="center"/>
      <protection/>
    </xf>
    <xf numFmtId="203" fontId="10" fillId="0" borderId="8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199" fontId="10" fillId="0" borderId="10" xfId="0" applyNumberFormat="1" applyFont="1" applyBorder="1" applyAlignment="1" applyProtection="1">
      <alignment vertical="center"/>
      <protection/>
    </xf>
    <xf numFmtId="200" fontId="10" fillId="0" borderId="11" xfId="0" applyNumberFormat="1" applyFont="1" applyBorder="1" applyAlignment="1" applyProtection="1">
      <alignment horizontal="center" vertical="center"/>
      <protection/>
    </xf>
    <xf numFmtId="200" fontId="10" fillId="0" borderId="11" xfId="0" applyNumberFormat="1" applyFont="1" applyBorder="1" applyAlignment="1" applyProtection="1">
      <alignment vertical="center"/>
      <protection/>
    </xf>
    <xf numFmtId="200" fontId="10" fillId="0" borderId="12" xfId="0" applyNumberFormat="1" applyFont="1" applyBorder="1" applyAlignment="1" applyProtection="1">
      <alignment horizontal="center" vertical="center"/>
      <protection/>
    </xf>
    <xf numFmtId="203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 quotePrefix="1">
      <alignment horizontal="right" vertical="center"/>
      <protection/>
    </xf>
    <xf numFmtId="202" fontId="12" fillId="0" borderId="0" xfId="0" applyNumberFormat="1" applyFont="1" applyBorder="1" applyAlignment="1" applyProtection="1">
      <alignment vertical="center"/>
      <protection/>
    </xf>
    <xf numFmtId="202" fontId="11" fillId="0" borderId="0" xfId="0" applyNumberFormat="1" applyFont="1" applyBorder="1" applyAlignment="1" applyProtection="1">
      <alignment vertical="center"/>
      <protection/>
    </xf>
    <xf numFmtId="202" fontId="10" fillId="0" borderId="0" xfId="0" applyNumberFormat="1" applyFont="1" applyAlignment="1" applyProtection="1">
      <alignment vertical="center"/>
      <protection/>
    </xf>
    <xf numFmtId="184" fontId="11" fillId="0" borderId="0" xfId="0" applyNumberFormat="1" applyFont="1" applyBorder="1" applyAlignment="1" applyProtection="1">
      <alignment horizontal="center" vertical="center"/>
      <protection/>
    </xf>
    <xf numFmtId="199" fontId="10" fillId="0" borderId="13" xfId="0" applyNumberFormat="1" applyFont="1" applyBorder="1" applyAlignment="1" applyProtection="1">
      <alignment vertical="center"/>
      <protection/>
    </xf>
    <xf numFmtId="200" fontId="10" fillId="0" borderId="14" xfId="0" applyNumberFormat="1" applyFont="1" applyBorder="1" applyAlignment="1" applyProtection="1">
      <alignment horizontal="center" vertical="center"/>
      <protection/>
    </xf>
    <xf numFmtId="200" fontId="10" fillId="0" borderId="14" xfId="0" applyNumberFormat="1" applyFont="1" applyBorder="1" applyAlignment="1" applyProtection="1">
      <alignment vertical="center"/>
      <protection/>
    </xf>
    <xf numFmtId="200" fontId="10" fillId="0" borderId="15" xfId="0" applyNumberFormat="1" applyFont="1" applyBorder="1" applyAlignment="1" applyProtection="1">
      <alignment horizontal="center" vertical="center"/>
      <protection/>
    </xf>
    <xf numFmtId="203" fontId="10" fillId="0" borderId="14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185" fontId="12" fillId="0" borderId="0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Continuous"/>
      <protection/>
    </xf>
    <xf numFmtId="0" fontId="14" fillId="0" borderId="17" xfId="0" applyFont="1" applyBorder="1" applyAlignment="1" applyProtection="1">
      <alignment horizontal="centerContinuous"/>
      <protection/>
    </xf>
    <xf numFmtId="0" fontId="14" fillId="0" borderId="3" xfId="0" applyFont="1" applyBorder="1" applyAlignment="1" applyProtection="1">
      <alignment horizontal="centerContinuous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Continuous" vertical="center"/>
      <protection/>
    </xf>
    <xf numFmtId="0" fontId="14" fillId="0" borderId="18" xfId="0" applyFont="1" applyBorder="1" applyAlignment="1" applyProtection="1">
      <alignment horizontal="centerContinuous" vertical="center"/>
      <protection/>
    </xf>
    <xf numFmtId="0" fontId="14" fillId="0" borderId="4" xfId="0" applyFont="1" applyBorder="1" applyAlignment="1" applyProtection="1">
      <alignment horizontal="centerContinuous"/>
      <protection/>
    </xf>
    <xf numFmtId="0" fontId="14" fillId="0" borderId="6" xfId="0" applyFont="1" applyBorder="1" applyAlignment="1" applyProtection="1">
      <alignment horizontal="centerContinuous" vertical="center"/>
      <protection/>
    </xf>
    <xf numFmtId="0" fontId="14" fillId="0" borderId="19" xfId="0" applyFont="1" applyBorder="1" applyAlignment="1" applyProtection="1">
      <alignment/>
      <protection/>
    </xf>
    <xf numFmtId="0" fontId="14" fillId="0" borderId="6" xfId="0" applyFont="1" applyBorder="1" applyAlignment="1" applyProtection="1">
      <alignment horizontal="centerContinuous" vertical="top"/>
      <protection/>
    </xf>
    <xf numFmtId="0" fontId="14" fillId="0" borderId="1" xfId="0" applyFont="1" applyBorder="1" applyAlignment="1" applyProtection="1">
      <alignment horizontal="centerContinuous" vertical="top"/>
      <protection/>
    </xf>
    <xf numFmtId="0" fontId="14" fillId="0" borderId="5" xfId="0" applyFont="1" applyBorder="1" applyAlignment="1" applyProtection="1">
      <alignment horizontal="center" vertical="top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Continuous" vertical="top"/>
      <protection/>
    </xf>
    <xf numFmtId="49" fontId="10" fillId="0" borderId="9" xfId="0" applyNumberFormat="1" applyFont="1" applyBorder="1" applyAlignment="1" applyProtection="1">
      <alignment horizontal="centerContinuous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200" fontId="10" fillId="0" borderId="9" xfId="0" applyNumberFormat="1" applyFont="1" applyBorder="1" applyAlignment="1" applyProtection="1">
      <alignment horizontal="centerContinuous" vertical="center"/>
      <protection/>
    </xf>
    <xf numFmtId="0" fontId="10" fillId="0" borderId="9" xfId="0" applyFont="1" applyBorder="1" applyAlignment="1" applyProtection="1">
      <alignment horizontal="centerContinuous" vertical="center"/>
      <protection/>
    </xf>
    <xf numFmtId="49" fontId="10" fillId="0" borderId="12" xfId="0" applyNumberFormat="1" applyFont="1" applyBorder="1" applyAlignment="1" applyProtection="1">
      <alignment horizontal="centerContinuous"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200" fontId="10" fillId="0" borderId="12" xfId="0" applyNumberFormat="1" applyFont="1" applyBorder="1" applyAlignment="1" applyProtection="1">
      <alignment horizontal="centerContinuous" vertical="center"/>
      <protection/>
    </xf>
    <xf numFmtId="0" fontId="10" fillId="0" borderId="12" xfId="0" applyFont="1" applyBorder="1" applyAlignment="1" applyProtection="1">
      <alignment horizontal="centerContinuous" vertical="center"/>
      <protection/>
    </xf>
    <xf numFmtId="49" fontId="10" fillId="0" borderId="15" xfId="0" applyNumberFormat="1" applyFont="1" applyBorder="1" applyAlignment="1" applyProtection="1">
      <alignment horizontal="centerContinuous"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00" fontId="10" fillId="0" borderId="15" xfId="0" applyNumberFormat="1" applyFont="1" applyBorder="1" applyAlignment="1" applyProtection="1">
      <alignment horizontal="centerContinuous" vertical="center"/>
      <protection/>
    </xf>
    <xf numFmtId="0" fontId="10" fillId="0" borderId="15" xfId="0" applyFont="1" applyBorder="1" applyAlignment="1" applyProtection="1">
      <alignment horizontal="centerContinuous" vertical="center"/>
      <protection/>
    </xf>
    <xf numFmtId="200" fontId="10" fillId="0" borderId="0" xfId="0" applyNumberFormat="1" applyFont="1" applyBorder="1" applyAlignment="1" applyProtection="1">
      <alignment vertical="center"/>
      <protection/>
    </xf>
    <xf numFmtId="200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10" fillId="0" borderId="5" xfId="0" applyFont="1" applyBorder="1" applyAlignment="1" applyProtection="1">
      <alignment horizontal="center" vertical="top"/>
      <protection/>
    </xf>
    <xf numFmtId="0" fontId="10" fillId="0" borderId="31" xfId="0" applyFont="1" applyBorder="1" applyAlignment="1" applyProtection="1">
      <alignment vertical="center"/>
      <protection/>
    </xf>
    <xf numFmtId="200" fontId="12" fillId="0" borderId="0" xfId="0" applyNumberFormat="1" applyFont="1" applyAlignment="1" applyProtection="1">
      <alignment vertical="center"/>
      <protection/>
    </xf>
    <xf numFmtId="1" fontId="12" fillId="0" borderId="0" xfId="0" applyNumberFormat="1" applyFont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/>
    </xf>
    <xf numFmtId="201" fontId="10" fillId="0" borderId="0" xfId="0" applyNumberFormat="1" applyFont="1" applyBorder="1" applyAlignment="1" applyProtection="1">
      <alignment vertical="center"/>
      <protection/>
    </xf>
    <xf numFmtId="211" fontId="10" fillId="0" borderId="0" xfId="0" applyNumberFormat="1" applyFont="1" applyAlignment="1" applyProtection="1">
      <alignment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Continuous" vertical="center"/>
      <protection/>
    </xf>
    <xf numFmtId="0" fontId="10" fillId="0" borderId="3" xfId="0" applyFont="1" applyBorder="1" applyAlignment="1" applyProtection="1">
      <alignment horizontal="centerContinuous" vertical="center"/>
      <protection/>
    </xf>
    <xf numFmtId="0" fontId="10" fillId="0" borderId="17" xfId="0" applyFont="1" applyBorder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Continuous" vertical="center"/>
      <protection/>
    </xf>
    <xf numFmtId="0" fontId="10" fillId="0" borderId="19" xfId="0" applyFont="1" applyBorder="1" applyAlignment="1" applyProtection="1">
      <alignment horizontal="centerContinuous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203" fontId="10" fillId="0" borderId="32" xfId="0" applyNumberFormat="1" applyFont="1" applyBorder="1" applyAlignment="1" applyProtection="1">
      <alignment horizontal="center" vertical="center"/>
      <protection/>
    </xf>
    <xf numFmtId="213" fontId="10" fillId="0" borderId="32" xfId="0" applyNumberFormat="1" applyFont="1" applyBorder="1" applyAlignment="1" applyProtection="1">
      <alignment horizontal="center" vertical="center"/>
      <protection/>
    </xf>
    <xf numFmtId="212" fontId="10" fillId="0" borderId="6" xfId="0" applyNumberFormat="1" applyFont="1" applyBorder="1" applyAlignment="1" applyProtection="1">
      <alignment horizontal="center" vertical="center"/>
      <protection/>
    </xf>
    <xf numFmtId="200" fontId="10" fillId="0" borderId="33" xfId="0" applyNumberFormat="1" applyFont="1" applyBorder="1" applyAlignment="1" applyProtection="1">
      <alignment horizontal="center" vertical="center"/>
      <protection/>
    </xf>
    <xf numFmtId="200" fontId="10" fillId="0" borderId="2" xfId="0" applyNumberFormat="1" applyFont="1" applyBorder="1" applyAlignment="1" applyProtection="1">
      <alignment horizontal="center" vertical="center"/>
      <protection/>
    </xf>
    <xf numFmtId="200" fontId="10" fillId="0" borderId="34" xfId="0" applyNumberFormat="1" applyFont="1" applyBorder="1" applyAlignment="1" applyProtection="1">
      <alignment horizontal="center" vertical="center"/>
      <protection/>
    </xf>
    <xf numFmtId="200" fontId="10" fillId="0" borderId="0" xfId="0" applyNumberFormat="1" applyFont="1" applyAlignment="1" applyProtection="1">
      <alignment horizontal="center" vertical="center"/>
      <protection/>
    </xf>
    <xf numFmtId="212" fontId="10" fillId="0" borderId="33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4" fillId="0" borderId="35" xfId="0" applyFont="1" applyBorder="1" applyAlignment="1" applyProtection="1">
      <alignment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9" fillId="0" borderId="35" xfId="0" applyFont="1" applyBorder="1" applyAlignment="1" applyProtection="1">
      <alignment/>
      <protection/>
    </xf>
    <xf numFmtId="0" fontId="18" fillId="0" borderId="35" xfId="0" applyNumberFormat="1" applyFont="1" applyBorder="1" applyAlignment="1" applyProtection="1">
      <alignment/>
      <protection/>
    </xf>
    <xf numFmtId="204" fontId="19" fillId="0" borderId="35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 quotePrefix="1">
      <alignment vertical="center"/>
      <protection/>
    </xf>
    <xf numFmtId="198" fontId="10" fillId="0" borderId="0" xfId="0" applyNumberFormat="1" applyFont="1" applyBorder="1" applyAlignment="1" applyProtection="1">
      <alignment vertical="center"/>
      <protection/>
    </xf>
    <xf numFmtId="9" fontId="10" fillId="0" borderId="0" xfId="0" applyNumberFormat="1" applyFont="1" applyBorder="1" applyAlignment="1" applyProtection="1">
      <alignment vertical="center"/>
      <protection/>
    </xf>
    <xf numFmtId="9" fontId="10" fillId="0" borderId="0" xfId="0" applyNumberFormat="1" applyFont="1" applyBorder="1" applyAlignment="1" applyProtection="1" quotePrefix="1">
      <alignment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 quotePrefix="1">
      <alignment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/>
      <protection/>
    </xf>
    <xf numFmtId="185" fontId="12" fillId="0" borderId="0" xfId="0" applyNumberFormat="1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 quotePrefix="1">
      <alignment horizontal="left" vertical="center"/>
      <protection/>
    </xf>
    <xf numFmtId="0" fontId="12" fillId="0" borderId="3" xfId="0" applyFont="1" applyBorder="1" applyAlignment="1" applyProtection="1">
      <alignment vertical="center"/>
      <protection/>
    </xf>
    <xf numFmtId="184" fontId="12" fillId="0" borderId="3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horizontal="right" vertical="center"/>
      <protection/>
    </xf>
    <xf numFmtId="185" fontId="12" fillId="0" borderId="3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 quotePrefix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200" fontId="0" fillId="0" borderId="0" xfId="0" applyNumberFormat="1" applyBorder="1" applyAlignment="1" applyProtection="1">
      <alignment vertical="center"/>
      <protection/>
    </xf>
    <xf numFmtId="20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 quotePrefix="1">
      <alignment horizontal="center" vertical="center"/>
      <protection/>
    </xf>
    <xf numFmtId="199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200" fontId="12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201" fontId="11" fillId="0" borderId="0" xfId="0" applyNumberFormat="1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vertical="top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49" fontId="14" fillId="0" borderId="31" xfId="0" applyNumberFormat="1" applyFont="1" applyBorder="1" applyAlignment="1" applyProtection="1">
      <alignment horizontal="center" vertical="center"/>
      <protection/>
    </xf>
    <xf numFmtId="209" fontId="14" fillId="0" borderId="31" xfId="0" applyNumberFormat="1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201" fontId="11" fillId="0" borderId="0" xfId="0" applyNumberFormat="1" applyFont="1" applyBorder="1" applyAlignment="1" applyProtection="1">
      <alignment vertical="center"/>
      <protection/>
    </xf>
    <xf numFmtId="209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209" fontId="14" fillId="0" borderId="14" xfId="0" applyNumberFormat="1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32" xfId="0" applyNumberFormat="1" applyFont="1" applyBorder="1" applyAlignment="1" applyProtection="1">
      <alignment horizontal="center" vertical="center"/>
      <protection/>
    </xf>
    <xf numFmtId="209" fontId="14" fillId="0" borderId="32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textRotation="90"/>
      <protection/>
    </xf>
    <xf numFmtId="49" fontId="14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 textRotation="90"/>
      <protection/>
    </xf>
    <xf numFmtId="201" fontId="12" fillId="0" borderId="0" xfId="0" applyNumberFormat="1" applyFont="1" applyBorder="1" applyAlignment="1" applyProtection="1">
      <alignment horizontal="left" vertical="center"/>
      <protection/>
    </xf>
    <xf numFmtId="201" fontId="10" fillId="0" borderId="0" xfId="0" applyNumberFormat="1" applyFont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Alignment="1" applyProtection="1">
      <alignment vertical="center"/>
      <protection/>
    </xf>
    <xf numFmtId="0" fontId="10" fillId="0" borderId="32" xfId="0" applyNumberFormat="1" applyFont="1" applyBorder="1" applyAlignment="1" applyProtection="1">
      <alignment horizontal="center" vertical="center"/>
      <protection/>
    </xf>
    <xf numFmtId="204" fontId="14" fillId="0" borderId="31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204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204" fontId="10" fillId="0" borderId="0" xfId="0" applyNumberFormat="1" applyFont="1" applyBorder="1" applyAlignment="1" applyProtection="1">
      <alignment vertical="center"/>
      <protection/>
    </xf>
    <xf numFmtId="201" fontId="11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204" fontId="14" fillId="0" borderId="14" xfId="0" applyNumberFormat="1" applyFont="1" applyBorder="1" applyAlignment="1" applyProtection="1">
      <alignment horizontal="center" vertical="center"/>
      <protection/>
    </xf>
    <xf numFmtId="204" fontId="10" fillId="0" borderId="8" xfId="0" applyNumberFormat="1" applyFont="1" applyBorder="1" applyAlignment="1" applyProtection="1">
      <alignment horizontal="center" vertical="center"/>
      <protection/>
    </xf>
    <xf numFmtId="204" fontId="10" fillId="0" borderId="14" xfId="0" applyNumberFormat="1" applyFont="1" applyBorder="1" applyAlignment="1" applyProtection="1">
      <alignment horizontal="center" vertical="center"/>
      <protection/>
    </xf>
    <xf numFmtId="204" fontId="10" fillId="0" borderId="0" xfId="0" applyNumberFormat="1" applyFont="1" applyBorder="1" applyAlignment="1" applyProtection="1">
      <alignment horizontal="center" vertical="center"/>
      <protection/>
    </xf>
    <xf numFmtId="204" fontId="10" fillId="0" borderId="32" xfId="0" applyNumberFormat="1" applyFont="1" applyBorder="1" applyAlignment="1" applyProtection="1">
      <alignment horizontal="center" vertical="center"/>
      <protection/>
    </xf>
    <xf numFmtId="209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204" fontId="11" fillId="0" borderId="0" xfId="0" applyNumberFormat="1" applyFont="1" applyBorder="1" applyAlignment="1" applyProtection="1">
      <alignment vertical="center"/>
      <protection/>
    </xf>
    <xf numFmtId="1" fontId="12" fillId="0" borderId="32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Continuous"/>
      <protection/>
    </xf>
    <xf numFmtId="0" fontId="10" fillId="0" borderId="37" xfId="0" applyFont="1" applyBorder="1" applyAlignment="1" applyProtection="1">
      <alignment horizontal="centerContinuous"/>
      <protection/>
    </xf>
    <xf numFmtId="1" fontId="14" fillId="0" borderId="32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Continuous"/>
      <protection/>
    </xf>
    <xf numFmtId="208" fontId="19" fillId="0" borderId="31" xfId="0" applyNumberFormat="1" applyFont="1" applyBorder="1" applyAlignment="1" applyProtection="1">
      <alignment horizontal="center" vertical="center"/>
      <protection/>
    </xf>
    <xf numFmtId="210" fontId="19" fillId="0" borderId="31" xfId="0" applyNumberFormat="1" applyFont="1" applyBorder="1" applyAlignment="1" applyProtection="1">
      <alignment horizontal="center" vertical="center"/>
      <protection/>
    </xf>
    <xf numFmtId="209" fontId="19" fillId="0" borderId="31" xfId="0" applyNumberFormat="1" applyFont="1" applyBorder="1" applyAlignment="1" applyProtection="1">
      <alignment horizontal="center" vertical="center"/>
      <protection/>
    </xf>
    <xf numFmtId="204" fontId="19" fillId="0" borderId="31" xfId="0" applyNumberFormat="1" applyFont="1" applyBorder="1" applyAlignment="1" applyProtection="1">
      <alignment horizontal="center" vertical="center"/>
      <protection/>
    </xf>
    <xf numFmtId="204" fontId="1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204" fontId="10" fillId="0" borderId="31" xfId="0" applyNumberFormat="1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vertical="center"/>
      <protection/>
    </xf>
    <xf numFmtId="0" fontId="10" fillId="0" borderId="38" xfId="0" applyFont="1" applyBorder="1" applyAlignment="1" applyProtection="1">
      <alignment/>
      <protection/>
    </xf>
    <xf numFmtId="0" fontId="10" fillId="0" borderId="37" xfId="0" applyFont="1" applyBorder="1" applyAlignment="1" applyProtection="1">
      <alignment/>
      <protection/>
    </xf>
    <xf numFmtId="208" fontId="19" fillId="0" borderId="11" xfId="0" applyNumberFormat="1" applyFont="1" applyBorder="1" applyAlignment="1" applyProtection="1">
      <alignment horizontal="center" vertical="center"/>
      <protection/>
    </xf>
    <xf numFmtId="204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/>
      <protection/>
    </xf>
    <xf numFmtId="208" fontId="19" fillId="0" borderId="14" xfId="0" applyNumberFormat="1" applyFont="1" applyBorder="1" applyAlignment="1" applyProtection="1">
      <alignment horizontal="center" vertical="center"/>
      <protection/>
    </xf>
    <xf numFmtId="210" fontId="19" fillId="0" borderId="14" xfId="0" applyNumberFormat="1" applyFont="1" applyBorder="1" applyAlignment="1" applyProtection="1">
      <alignment horizontal="center" vertical="center"/>
      <protection/>
    </xf>
    <xf numFmtId="209" fontId="19" fillId="0" borderId="14" xfId="0" applyNumberFormat="1" applyFont="1" applyBorder="1" applyAlignment="1" applyProtection="1">
      <alignment horizontal="center" vertical="center"/>
      <protection/>
    </xf>
    <xf numFmtId="204" fontId="19" fillId="0" borderId="14" xfId="0" applyNumberFormat="1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 horizontal="center"/>
      <protection/>
    </xf>
    <xf numFmtId="49" fontId="10" fillId="0" borderId="1" xfId="0" applyNumberFormat="1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209" fontId="10" fillId="0" borderId="31" xfId="0" applyNumberFormat="1" applyFont="1" applyBorder="1" applyAlignment="1" applyProtection="1">
      <alignment horizontal="center" vertical="center"/>
      <protection/>
    </xf>
    <xf numFmtId="209" fontId="10" fillId="0" borderId="0" xfId="0" applyNumberFormat="1" applyFont="1" applyBorder="1" applyAlignment="1" applyProtection="1">
      <alignment vertical="center"/>
      <protection/>
    </xf>
    <xf numFmtId="209" fontId="10" fillId="0" borderId="0" xfId="0" applyNumberFormat="1" applyFont="1" applyAlignment="1" applyProtection="1">
      <alignment vertical="center"/>
      <protection/>
    </xf>
    <xf numFmtId="210" fontId="10" fillId="0" borderId="0" xfId="0" applyNumberFormat="1" applyFont="1" applyBorder="1" applyAlignment="1" applyProtection="1">
      <alignment horizontal="center" vertical="center"/>
      <protection/>
    </xf>
    <xf numFmtId="210" fontId="12" fillId="0" borderId="0" xfId="0" applyNumberFormat="1" applyFont="1" applyBorder="1" applyAlignment="1" applyProtection="1">
      <alignment horizontal="center" vertical="center"/>
      <protection/>
    </xf>
    <xf numFmtId="209" fontId="10" fillId="0" borderId="11" xfId="0" applyNumberFormat="1" applyFont="1" applyBorder="1" applyAlignment="1" applyProtection="1">
      <alignment horizontal="center" vertical="center"/>
      <protection/>
    </xf>
    <xf numFmtId="209" fontId="10" fillId="0" borderId="14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209" fontId="10" fillId="0" borderId="0" xfId="0" applyNumberFormat="1" applyFont="1" applyBorder="1" applyAlignment="1" applyProtection="1">
      <alignment horizontal="center" vertical="center"/>
      <protection/>
    </xf>
    <xf numFmtId="209" fontId="10" fillId="0" borderId="0" xfId="0" applyNumberFormat="1" applyFont="1" applyBorder="1" applyAlignment="1" applyProtection="1" quotePrefix="1">
      <alignment horizontal="center"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/>
      <protection/>
    </xf>
    <xf numFmtId="184" fontId="11" fillId="0" borderId="0" xfId="0" applyNumberFormat="1" applyFont="1" applyFill="1" applyBorder="1" applyAlignment="1" applyProtection="1">
      <alignment vertical="center"/>
      <protection/>
    </xf>
    <xf numFmtId="49" fontId="10" fillId="0" borderId="2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 quotePrefix="1">
      <alignment vertical="center"/>
      <protection/>
    </xf>
    <xf numFmtId="204" fontId="10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11" fillId="0" borderId="3" xfId="0" applyFont="1" applyBorder="1" applyAlignment="1" applyProtection="1">
      <alignment horizontal="center" vertical="center"/>
      <protection/>
    </xf>
    <xf numFmtId="200" fontId="1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Border="1" applyAlignment="1" applyProtection="1" quotePrefix="1">
      <alignment vertical="center"/>
      <protection/>
    </xf>
    <xf numFmtId="0" fontId="10" fillId="0" borderId="0" xfId="0" applyNumberFormat="1" applyFont="1" applyBorder="1" applyAlignment="1" applyProtection="1" quotePrefix="1">
      <alignment vertical="center"/>
      <protection/>
    </xf>
    <xf numFmtId="20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0" fontId="27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vertical="center" textRotation="90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 quotePrefix="1">
      <alignment horizontal="right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215" fontId="10" fillId="0" borderId="0" xfId="0" applyNumberFormat="1" applyFont="1" applyBorder="1" applyAlignment="1" applyProtection="1">
      <alignment horizontal="center" vertical="center"/>
      <protection/>
    </xf>
    <xf numFmtId="199" fontId="10" fillId="0" borderId="0" xfId="0" applyNumberFormat="1" applyFont="1" applyAlignment="1" applyProtection="1">
      <alignment horizontal="center" vertical="center"/>
      <protection/>
    </xf>
    <xf numFmtId="210" fontId="10" fillId="0" borderId="0" xfId="0" applyNumberFormat="1" applyFont="1" applyAlignment="1" applyProtection="1">
      <alignment horizontal="center" vertical="center"/>
      <protection/>
    </xf>
    <xf numFmtId="216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3" xfId="0" applyNumberFormat="1" applyFont="1" applyBorder="1" applyAlignment="1" applyProtection="1">
      <alignment horizontal="center" vertical="center"/>
      <protection/>
    </xf>
    <xf numFmtId="0" fontId="10" fillId="0" borderId="1" xfId="0" applyNumberFormat="1" applyFont="1" applyBorder="1" applyAlignment="1" applyProtection="1">
      <alignment vertical="center"/>
      <protection/>
    </xf>
    <xf numFmtId="0" fontId="10" fillId="0" borderId="1" xfId="0" applyNumberFormat="1" applyFont="1" applyBorder="1" applyAlignment="1" applyProtection="1">
      <alignment horizontal="center"/>
      <protection/>
    </xf>
    <xf numFmtId="201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centerContinuous" vertical="center"/>
      <protection/>
    </xf>
    <xf numFmtId="200" fontId="10" fillId="0" borderId="0" xfId="0" applyNumberFormat="1" applyFont="1" applyBorder="1" applyAlignment="1" applyProtection="1">
      <alignment horizontal="center" vertical="center" textRotation="90"/>
      <protection/>
    </xf>
    <xf numFmtId="0" fontId="10" fillId="0" borderId="0" xfId="0" applyNumberFormat="1" applyFont="1" applyBorder="1" applyAlignment="1" applyProtection="1" quotePrefix="1">
      <alignment horizontal="centerContinuous" vertical="center"/>
      <protection/>
    </xf>
    <xf numFmtId="200" fontId="12" fillId="0" borderId="0" xfId="0" applyNumberFormat="1" applyFont="1" applyAlignment="1" applyProtection="1">
      <alignment horizontal="center" vertical="center"/>
      <protection/>
    </xf>
    <xf numFmtId="0" fontId="13" fillId="0" borderId="1" xfId="0" applyNumberFormat="1" applyFont="1" applyBorder="1" applyAlignment="1" applyProtection="1" quotePrefix="1">
      <alignment vertical="center"/>
      <protection/>
    </xf>
    <xf numFmtId="0" fontId="10" fillId="0" borderId="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0" applyNumberFormat="1" applyFont="1" applyAlignment="1" applyProtection="1">
      <alignment horizontal="centerContinuous" vertical="center"/>
      <protection/>
    </xf>
    <xf numFmtId="200" fontId="12" fillId="0" borderId="0" xfId="0" applyNumberFormat="1" applyFont="1" applyBorder="1" applyAlignment="1" applyProtection="1">
      <alignment horizontal="centerContinuous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 quotePrefix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 quotePrefix="1">
      <alignment vertical="center"/>
      <protection/>
    </xf>
    <xf numFmtId="0" fontId="10" fillId="0" borderId="3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horizontal="center" vertical="center"/>
      <protection/>
    </xf>
    <xf numFmtId="215" fontId="10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200" fontId="19" fillId="0" borderId="0" xfId="0" applyNumberFormat="1" applyFont="1" applyBorder="1" applyAlignment="1" applyProtection="1">
      <alignment vertical="center"/>
      <protection/>
    </xf>
    <xf numFmtId="200" fontId="19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Border="1" applyAlignment="1" applyProtection="1" quotePrefix="1">
      <alignment vertical="center"/>
      <protection/>
    </xf>
    <xf numFmtId="0" fontId="14" fillId="0" borderId="0" xfId="0" applyNumberFormat="1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4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NumberFormat="1" applyFont="1" applyAlignment="1" applyProtection="1">
      <alignment vertical="center"/>
      <protection/>
    </xf>
    <xf numFmtId="200" fontId="14" fillId="0" borderId="0" xfId="0" applyNumberFormat="1" applyFont="1" applyBorder="1" applyAlignment="1" applyProtection="1">
      <alignment horizontal="center" vertical="center"/>
      <protection/>
    </xf>
    <xf numFmtId="200" fontId="19" fillId="0" borderId="0" xfId="0" applyNumberFormat="1" applyFont="1" applyBorder="1" applyAlignment="1" applyProtection="1">
      <alignment horizontal="center" vertical="center" textRotation="90"/>
      <protection/>
    </xf>
    <xf numFmtId="0" fontId="14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NumberFormat="1" applyFont="1" applyBorder="1" applyAlignment="1" applyProtection="1">
      <alignment horizontal="center" vertical="center"/>
      <protection/>
    </xf>
    <xf numFmtId="200" fontId="14" fillId="0" borderId="0" xfId="0" applyNumberFormat="1" applyFont="1" applyBorder="1" applyAlignment="1" applyProtection="1">
      <alignment horizontal="center" vertical="top" textRotation="90"/>
      <protection/>
    </xf>
    <xf numFmtId="200" fontId="19" fillId="0" borderId="0" xfId="0" applyNumberFormat="1" applyFont="1" applyBorder="1" applyAlignment="1" applyProtection="1">
      <alignment horizontal="centerContinuous" vertical="center"/>
      <protection/>
    </xf>
    <xf numFmtId="200" fontId="14" fillId="0" borderId="0" xfId="0" applyNumberFormat="1" applyFont="1" applyBorder="1" applyAlignment="1" applyProtection="1">
      <alignment horizontal="center" vertical="center" textRotation="90"/>
      <protection/>
    </xf>
    <xf numFmtId="0" fontId="14" fillId="0" borderId="0" xfId="0" applyNumberFormat="1" applyFont="1" applyBorder="1" applyAlignment="1" applyProtection="1" quotePrefix="1">
      <alignment horizontal="centerContinuous" vertical="center"/>
      <protection/>
    </xf>
    <xf numFmtId="201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 quotePrefix="1">
      <alignment vertical="center"/>
      <protection/>
    </xf>
    <xf numFmtId="204" fontId="14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 quotePrefix="1">
      <alignment vertical="center"/>
      <protection/>
    </xf>
    <xf numFmtId="209" fontId="14" fillId="0" borderId="0" xfId="0" applyNumberFormat="1" applyFont="1" applyBorder="1" applyAlignment="1" applyProtection="1">
      <alignment horizontal="center" vertical="center"/>
      <protection/>
    </xf>
    <xf numFmtId="204" fontId="14" fillId="0" borderId="0" xfId="0" applyNumberFormat="1" applyFont="1" applyBorder="1" applyAlignment="1" applyProtection="1">
      <alignment horizontal="center" vertical="center"/>
      <protection/>
    </xf>
    <xf numFmtId="199" fontId="14" fillId="0" borderId="0" xfId="0" applyNumberFormat="1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200" fontId="12" fillId="0" borderId="0" xfId="0" applyNumberFormat="1" applyFont="1" applyBorder="1" applyAlignment="1" applyProtection="1">
      <alignment horizontal="center" textRotation="90"/>
      <protection/>
    </xf>
    <xf numFmtId="0" fontId="10" fillId="0" borderId="0" xfId="0" applyNumberFormat="1" applyFont="1" applyBorder="1" applyAlignment="1" applyProtection="1">
      <alignment horizontal="center" vertical="center" textRotation="90"/>
      <protection/>
    </xf>
    <xf numFmtId="0" fontId="10" fillId="0" borderId="1" xfId="0" applyNumberFormat="1" applyFont="1" applyBorder="1" applyAlignment="1" applyProtection="1">
      <alignment/>
      <protection/>
    </xf>
    <xf numFmtId="0" fontId="13" fillId="0" borderId="1" xfId="0" applyNumberFormat="1" applyFont="1" applyBorder="1" applyAlignment="1" applyProtection="1" quotePrefix="1">
      <alignment horizontal="left"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4" xfId="0" applyNumberFormat="1" applyFont="1" applyBorder="1" applyAlignment="1" applyProtection="1">
      <alignment horizontal="center" vertical="center"/>
      <protection/>
    </xf>
    <xf numFmtId="0" fontId="10" fillId="0" borderId="41" xfId="0" applyNumberFormat="1" applyFont="1" applyBorder="1" applyAlignment="1" applyProtection="1">
      <alignment horizontal="center" vertical="center"/>
      <protection/>
    </xf>
    <xf numFmtId="204" fontId="10" fillId="0" borderId="9" xfId="0" applyNumberFormat="1" applyFont="1" applyBorder="1" applyAlignment="1" applyProtection="1">
      <alignment vertical="center"/>
      <protection/>
    </xf>
    <xf numFmtId="0" fontId="10" fillId="0" borderId="8" xfId="0" applyNumberFormat="1" applyFont="1" applyBorder="1" applyAlignment="1" applyProtection="1">
      <alignment horizontal="center" vertical="center"/>
      <protection/>
    </xf>
    <xf numFmtId="199" fontId="10" fillId="0" borderId="12" xfId="0" applyNumberFormat="1" applyFont="1" applyBorder="1" applyAlignment="1" applyProtection="1">
      <alignment vertical="center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99" fontId="10" fillId="0" borderId="15" xfId="0" applyNumberFormat="1" applyFont="1" applyBorder="1" applyAlignment="1" applyProtection="1">
      <alignment vertical="center"/>
      <protection/>
    </xf>
    <xf numFmtId="0" fontId="10" fillId="0" borderId="14" xfId="0" applyNumberFormat="1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203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0" fontId="33" fillId="0" borderId="0" xfId="22" applyFont="1" applyBorder="1" applyAlignment="1">
      <alignment vertical="center"/>
      <protection/>
    </xf>
    <xf numFmtId="0" fontId="31" fillId="0" borderId="0" xfId="22" applyBorder="1" applyAlignment="1">
      <alignment vertical="center"/>
      <protection/>
    </xf>
    <xf numFmtId="0" fontId="31" fillId="0" borderId="0" xfId="22" applyFont="1" applyBorder="1" applyAlignment="1">
      <alignment vertical="center"/>
      <protection/>
    </xf>
    <xf numFmtId="0" fontId="34" fillId="0" borderId="0" xfId="22" applyFont="1" applyBorder="1" applyAlignment="1">
      <alignment vertical="center"/>
      <protection/>
    </xf>
    <xf numFmtId="0" fontId="35" fillId="0" borderId="42" xfId="22" applyFont="1" applyBorder="1" applyAlignment="1">
      <alignment horizontal="left" vertical="center" indent="1"/>
      <protection/>
    </xf>
    <xf numFmtId="0" fontId="30" fillId="0" borderId="0" xfId="22" applyFont="1" applyAlignment="1">
      <alignment horizontal="center" vertical="center"/>
      <protection/>
    </xf>
    <xf numFmtId="0" fontId="31" fillId="0" borderId="0" xfId="22" applyFont="1" applyAlignment="1">
      <alignment horizontal="center" vertical="center"/>
      <protection/>
    </xf>
    <xf numFmtId="0" fontId="31" fillId="0" borderId="0" xfId="22" applyFont="1" applyAlignment="1">
      <alignment/>
      <protection/>
    </xf>
    <xf numFmtId="0" fontId="30" fillId="0" borderId="32" xfId="22" applyFont="1" applyBorder="1" applyAlignment="1">
      <alignment horizontal="center" vertical="center"/>
      <protection/>
    </xf>
    <xf numFmtId="0" fontId="30" fillId="0" borderId="1" xfId="22" applyFont="1" applyBorder="1" applyAlignment="1">
      <alignment horizontal="center" vertical="center"/>
      <protection/>
    </xf>
    <xf numFmtId="0" fontId="30" fillId="0" borderId="37" xfId="22" applyFont="1" applyBorder="1" applyAlignment="1">
      <alignment vertical="center"/>
      <protection/>
    </xf>
    <xf numFmtId="0" fontId="30" fillId="0" borderId="0" xfId="22" applyFont="1" applyBorder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30" fillId="0" borderId="6" xfId="22" applyFont="1" applyBorder="1" applyAlignment="1">
      <alignment vertical="center"/>
      <protection/>
    </xf>
    <xf numFmtId="0" fontId="30" fillId="0" borderId="1" xfId="22" applyFont="1" applyBorder="1" applyAlignment="1">
      <alignment vertical="center"/>
      <protection/>
    </xf>
    <xf numFmtId="0" fontId="30" fillId="0" borderId="16" xfId="22" applyFont="1" applyBorder="1" applyAlignment="1">
      <alignment vertical="center"/>
      <protection/>
    </xf>
    <xf numFmtId="0" fontId="30" fillId="0" borderId="3" xfId="22" applyFont="1" applyBorder="1" applyAlignment="1">
      <alignment vertical="center"/>
      <protection/>
    </xf>
    <xf numFmtId="0" fontId="30" fillId="0" borderId="0" xfId="22" applyFont="1" applyAlignment="1">
      <alignment horizontal="right" vertical="center"/>
      <protection/>
    </xf>
    <xf numFmtId="0" fontId="30" fillId="0" borderId="8" xfId="22" applyFont="1" applyBorder="1" applyAlignment="1">
      <alignment horizontal="center" vertical="center"/>
      <protection/>
    </xf>
    <xf numFmtId="0" fontId="30" fillId="0" borderId="18" xfId="22" applyFont="1" applyBorder="1" applyAlignment="1">
      <alignment horizontal="center" vertical="center"/>
      <protection/>
    </xf>
    <xf numFmtId="0" fontId="30" fillId="0" borderId="43" xfId="22" applyFont="1" applyBorder="1" applyAlignment="1">
      <alignment vertical="center"/>
      <protection/>
    </xf>
    <xf numFmtId="0" fontId="30" fillId="0" borderId="11" xfId="22" applyFont="1" applyBorder="1" applyAlignment="1">
      <alignment horizontal="center" vertical="center"/>
      <protection/>
    </xf>
    <xf numFmtId="0" fontId="30" fillId="0" borderId="24" xfId="22" applyFont="1" applyBorder="1" applyAlignment="1">
      <alignment horizontal="center" vertical="center"/>
      <protection/>
    </xf>
    <xf numFmtId="0" fontId="30" fillId="0" borderId="44" xfId="22" applyFont="1" applyBorder="1" applyAlignment="1">
      <alignment vertical="center"/>
      <protection/>
    </xf>
    <xf numFmtId="0" fontId="30" fillId="0" borderId="5" xfId="22" applyFont="1" applyBorder="1" applyAlignment="1">
      <alignment horizontal="center" vertical="center"/>
      <protection/>
    </xf>
    <xf numFmtId="0" fontId="30" fillId="0" borderId="14" xfId="22" applyFont="1" applyBorder="1" applyAlignment="1">
      <alignment horizontal="center" vertical="center"/>
      <protection/>
    </xf>
    <xf numFmtId="0" fontId="30" fillId="0" borderId="28" xfId="22" applyFont="1" applyBorder="1" applyAlignment="1">
      <alignment horizontal="center" vertical="center"/>
      <protection/>
    </xf>
    <xf numFmtId="0" fontId="30" fillId="0" borderId="33" xfId="22" applyFont="1" applyBorder="1" applyAlignment="1">
      <alignment vertical="center"/>
      <protection/>
    </xf>
    <xf numFmtId="0" fontId="30" fillId="0" borderId="2" xfId="22" applyFont="1" applyBorder="1" applyAlignment="1">
      <alignment vertical="center"/>
      <protection/>
    </xf>
    <xf numFmtId="0" fontId="36" fillId="0" borderId="45" xfId="22" applyFont="1" applyBorder="1" applyAlignment="1" applyProtection="1">
      <alignment horizontal="center" vertical="center"/>
      <protection locked="0"/>
    </xf>
    <xf numFmtId="0" fontId="30" fillId="2" borderId="5" xfId="22" applyFont="1" applyFill="1" applyBorder="1" applyAlignment="1">
      <alignment horizontal="center" vertical="center"/>
      <protection/>
    </xf>
    <xf numFmtId="0" fontId="30" fillId="2" borderId="1" xfId="22" applyFont="1" applyFill="1" applyBorder="1" applyAlignment="1">
      <alignment horizontal="center" vertical="center"/>
      <protection/>
    </xf>
    <xf numFmtId="0" fontId="30" fillId="2" borderId="33" xfId="22" applyFont="1" applyFill="1" applyBorder="1" applyAlignment="1">
      <alignment vertical="center"/>
      <protection/>
    </xf>
    <xf numFmtId="0" fontId="30" fillId="2" borderId="2" xfId="22" applyFont="1" applyFill="1" applyBorder="1" applyAlignment="1">
      <alignment vertical="center"/>
      <protection/>
    </xf>
    <xf numFmtId="0" fontId="30" fillId="2" borderId="1" xfId="22" applyFont="1" applyFill="1" applyBorder="1" applyAlignment="1">
      <alignment vertical="center"/>
      <protection/>
    </xf>
    <xf numFmtId="0" fontId="36" fillId="2" borderId="46" xfId="22" applyFont="1" applyFill="1" applyBorder="1" applyAlignment="1" applyProtection="1">
      <alignment horizontal="center" vertical="center"/>
      <protection locked="0"/>
    </xf>
    <xf numFmtId="0" fontId="31" fillId="0" borderId="0" xfId="22" applyBorder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/>
      <protection/>
    </xf>
    <xf numFmtId="0" fontId="14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textRotation="90"/>
      <protection/>
    </xf>
    <xf numFmtId="0" fontId="14" fillId="0" borderId="36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1" fillId="0" borderId="0" xfId="0" applyFont="1" applyAlignment="1">
      <alignment/>
    </xf>
    <xf numFmtId="0" fontId="41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24" fillId="0" borderId="0" xfId="0" applyNumberFormat="1" applyFont="1" applyBorder="1" applyAlignment="1" applyProtection="1">
      <alignment vertical="center"/>
      <protection/>
    </xf>
    <xf numFmtId="0" fontId="41" fillId="0" borderId="0" xfId="0" applyNumberFormat="1" applyFont="1" applyBorder="1" applyAlignment="1" applyProtection="1">
      <alignment vertical="center"/>
      <protection/>
    </xf>
    <xf numFmtId="0" fontId="42" fillId="0" borderId="0" xfId="0" applyFont="1" applyAlignment="1">
      <alignment vertical="center"/>
    </xf>
    <xf numFmtId="0" fontId="0" fillId="0" borderId="32" xfId="0" applyBorder="1" applyAlignment="1">
      <alignment/>
    </xf>
    <xf numFmtId="38" fontId="0" fillId="0" borderId="32" xfId="17" applyBorder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0" fontId="1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201" fontId="12" fillId="0" borderId="1" xfId="0" applyNumberFormat="1" applyFont="1" applyBorder="1" applyAlignment="1" applyProtection="1">
      <alignment horizontal="center"/>
      <protection/>
    </xf>
    <xf numFmtId="201" fontId="10" fillId="0" borderId="1" xfId="0" applyNumberFormat="1" applyFont="1" applyBorder="1" applyAlignment="1" applyProtection="1">
      <alignment horizontal="center"/>
      <protection/>
    </xf>
    <xf numFmtId="201" fontId="12" fillId="0" borderId="1" xfId="0" applyNumberFormat="1" applyFont="1" applyFill="1" applyBorder="1" applyAlignment="1" applyProtection="1">
      <alignment/>
      <protection/>
    </xf>
    <xf numFmtId="201" fontId="10" fillId="0" borderId="1" xfId="0" applyNumberFormat="1" applyFont="1" applyBorder="1" applyAlignment="1" applyProtection="1">
      <alignment/>
      <protection/>
    </xf>
    <xf numFmtId="205" fontId="12" fillId="0" borderId="1" xfId="0" applyNumberFormat="1" applyFont="1" applyBorder="1" applyAlignment="1" applyProtection="1">
      <alignment horizontal="center"/>
      <protection/>
    </xf>
    <xf numFmtId="205" fontId="10" fillId="0" borderId="1" xfId="0" applyNumberFormat="1" applyFont="1" applyBorder="1" applyAlignment="1" applyProtection="1">
      <alignment/>
      <protection/>
    </xf>
    <xf numFmtId="201" fontId="12" fillId="0" borderId="0" xfId="0" applyNumberFormat="1" applyFont="1" applyBorder="1" applyAlignment="1" applyProtection="1" quotePrefix="1">
      <alignment horizontal="center" vertical="center"/>
      <protection/>
    </xf>
    <xf numFmtId="201" fontId="12" fillId="0" borderId="0" xfId="0" applyNumberFormat="1" applyFont="1" applyBorder="1" applyAlignment="1" applyProtection="1">
      <alignment horizontal="center" vertical="center"/>
      <protection/>
    </xf>
    <xf numFmtId="0" fontId="19" fillId="0" borderId="36" xfId="0" applyFont="1" applyBorder="1" applyAlignment="1" applyProtection="1">
      <alignment horizontal="center" vertical="top"/>
      <protection locked="0"/>
    </xf>
    <xf numFmtId="198" fontId="12" fillId="0" borderId="1" xfId="0" applyNumberFormat="1" applyFont="1" applyBorder="1" applyAlignment="1" applyProtection="1">
      <alignment horizontal="center"/>
      <protection/>
    </xf>
    <xf numFmtId="204" fontId="12" fillId="0" borderId="1" xfId="0" applyNumberFormat="1" applyFont="1" applyFill="1" applyBorder="1" applyAlignment="1" applyProtection="1">
      <alignment/>
      <protection/>
    </xf>
    <xf numFmtId="204" fontId="12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226" fontId="10" fillId="0" borderId="32" xfId="0" applyNumberFormat="1" applyFont="1" applyFill="1" applyBorder="1" applyAlignment="1">
      <alignment horizontal="right"/>
    </xf>
    <xf numFmtId="0" fontId="30" fillId="0" borderId="16" xfId="0" applyFont="1" applyBorder="1" applyAlignment="1">
      <alignment horizontal="center" vertical="center"/>
    </xf>
    <xf numFmtId="184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204" fontId="12" fillId="0" borderId="0" xfId="0" applyNumberFormat="1" applyFont="1" applyBorder="1" applyAlignment="1" applyProtection="1">
      <alignment horizontal="center" vertical="center"/>
      <protection/>
    </xf>
    <xf numFmtId="201" fontId="12" fillId="0" borderId="1" xfId="0" applyNumberFormat="1" applyFont="1" applyFill="1" applyBorder="1" applyAlignment="1" applyProtection="1">
      <alignment horizontal="center"/>
      <protection/>
    </xf>
    <xf numFmtId="198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49" xfId="0" applyFont="1" applyBorder="1" applyAlignment="1">
      <alignment horizontal="center"/>
    </xf>
    <xf numFmtId="228" fontId="10" fillId="0" borderId="49" xfId="0" applyNumberFormat="1" applyFont="1" applyFill="1" applyBorder="1" applyAlignment="1">
      <alignment horizontal="right"/>
    </xf>
    <xf numFmtId="200" fontId="12" fillId="0" borderId="1" xfId="0" applyNumberFormat="1" applyFont="1" applyBorder="1" applyAlignment="1" applyProtection="1">
      <alignment horizontal="center"/>
      <protection/>
    </xf>
    <xf numFmtId="200" fontId="19" fillId="0" borderId="36" xfId="0" applyNumberFormat="1" applyFont="1" applyBorder="1" applyAlignment="1" applyProtection="1">
      <alignment horizontal="center" vertical="top"/>
      <protection locked="0"/>
    </xf>
    <xf numFmtId="200" fontId="12" fillId="0" borderId="0" xfId="0" applyNumberFormat="1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0" fillId="0" borderId="5" xfId="0" applyFont="1" applyBorder="1" applyAlignment="1">
      <alignment horizontal="center"/>
    </xf>
    <xf numFmtId="228" fontId="10" fillId="0" borderId="5" xfId="0" applyNumberFormat="1" applyFont="1" applyFill="1" applyBorder="1" applyAlignment="1">
      <alignment horizontal="right"/>
    </xf>
    <xf numFmtId="0" fontId="10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0" fillId="0" borderId="32" xfId="0" applyFont="1" applyBorder="1" applyAlignment="1">
      <alignment horizontal="center"/>
    </xf>
    <xf numFmtId="228" fontId="10" fillId="0" borderId="32" xfId="0" applyNumberFormat="1" applyFont="1" applyFill="1" applyBorder="1" applyAlignment="1">
      <alignment horizontal="right"/>
    </xf>
    <xf numFmtId="226" fontId="10" fillId="0" borderId="32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center" textRotation="90"/>
      <protection locked="0"/>
    </xf>
    <xf numFmtId="0" fontId="10" fillId="0" borderId="0" xfId="0" applyFont="1" applyBorder="1" applyAlignment="1" applyProtection="1">
      <alignment horizontal="center" vertical="center" textRotation="90"/>
      <protection/>
    </xf>
    <xf numFmtId="200" fontId="12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3" fontId="19" fillId="0" borderId="36" xfId="0" applyNumberFormat="1" applyFont="1" applyBorder="1" applyAlignment="1" applyProtection="1">
      <alignment horizontal="left" vertical="center"/>
      <protection locked="0"/>
    </xf>
    <xf numFmtId="0" fontId="19" fillId="0" borderId="36" xfId="0" applyFont="1" applyBorder="1" applyAlignment="1" applyProtection="1">
      <alignment horizontal="left" vertical="center"/>
      <protection locked="0"/>
    </xf>
    <xf numFmtId="200" fontId="12" fillId="0" borderId="0" xfId="0" applyNumberFormat="1" applyFont="1" applyBorder="1" applyAlignment="1" applyProtection="1">
      <alignment horizontal="center" vertical="center"/>
      <protection/>
    </xf>
    <xf numFmtId="201" fontId="10" fillId="0" borderId="0" xfId="0" applyNumberFormat="1" applyFont="1" applyBorder="1" applyAlignment="1" applyProtection="1">
      <alignment vertical="center"/>
      <protection/>
    </xf>
    <xf numFmtId="201" fontId="10" fillId="0" borderId="0" xfId="0" applyNumberFormat="1" applyFont="1" applyAlignment="1" applyProtection="1">
      <alignment vertical="center"/>
      <protection/>
    </xf>
    <xf numFmtId="211" fontId="10" fillId="0" borderId="0" xfId="0" applyNumberFormat="1" applyFont="1" applyBorder="1" applyAlignment="1" applyProtection="1">
      <alignment vertical="center"/>
      <protection/>
    </xf>
    <xf numFmtId="211" fontId="10" fillId="0" borderId="0" xfId="0" applyNumberFormat="1" applyFont="1" applyAlignment="1" applyProtection="1">
      <alignment vertical="center"/>
      <protection/>
    </xf>
    <xf numFmtId="208" fontId="10" fillId="0" borderId="0" xfId="0" applyNumberFormat="1" applyFont="1" applyBorder="1" applyAlignment="1" applyProtection="1">
      <alignment vertical="center"/>
      <protection/>
    </xf>
    <xf numFmtId="208" fontId="10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202" fontId="12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 quotePrefix="1">
      <alignment horizontal="right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top"/>
      <protection/>
    </xf>
    <xf numFmtId="0" fontId="10" fillId="0" borderId="50" xfId="0" applyFont="1" applyBorder="1" applyAlignment="1" applyProtection="1">
      <alignment horizontal="center" vertical="top"/>
      <protection/>
    </xf>
    <xf numFmtId="200" fontId="10" fillId="0" borderId="9" xfId="0" applyNumberFormat="1" applyFont="1" applyBorder="1" applyAlignment="1" applyProtection="1">
      <alignment vertical="center"/>
      <protection/>
    </xf>
    <xf numFmtId="200" fontId="10" fillId="0" borderId="18" xfId="0" applyNumberFormat="1" applyFont="1" applyBorder="1" applyAlignment="1" applyProtection="1">
      <alignment vertical="center"/>
      <protection/>
    </xf>
    <xf numFmtId="200" fontId="10" fillId="0" borderId="15" xfId="0" applyNumberFormat="1" applyFont="1" applyBorder="1" applyAlignment="1" applyProtection="1">
      <alignment vertical="center"/>
      <protection/>
    </xf>
    <xf numFmtId="200" fontId="10" fillId="0" borderId="28" xfId="0" applyNumberFormat="1" applyFont="1" applyBorder="1" applyAlignment="1" applyProtection="1">
      <alignment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 vertical="center" textRotation="90"/>
      <protection locked="0"/>
    </xf>
    <xf numFmtId="202" fontId="12" fillId="0" borderId="0" xfId="0" applyNumberFormat="1" applyFont="1" applyBorder="1" applyAlignment="1" applyProtection="1">
      <alignment horizontal="right" vertical="center"/>
      <protection/>
    </xf>
    <xf numFmtId="202" fontId="10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201" fontId="12" fillId="0" borderId="0" xfId="0" applyNumberFormat="1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01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20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202" fontId="12" fillId="0" borderId="0" xfId="0" applyNumberFormat="1" applyFont="1" applyBorder="1" applyAlignment="1" applyProtection="1">
      <alignment vertical="center"/>
      <protection/>
    </xf>
    <xf numFmtId="211" fontId="12" fillId="0" borderId="0" xfId="0" applyNumberFormat="1" applyFont="1" applyBorder="1" applyAlignment="1" applyProtection="1">
      <alignment horizontal="right" vertical="center"/>
      <protection/>
    </xf>
    <xf numFmtId="211" fontId="10" fillId="0" borderId="0" xfId="0" applyNumberFormat="1" applyFont="1" applyAlignment="1" applyProtection="1">
      <alignment horizontal="right" vertical="center"/>
      <protection/>
    </xf>
    <xf numFmtId="199" fontId="12" fillId="0" borderId="0" xfId="0" applyNumberFormat="1" applyFont="1" applyBorder="1" applyAlignment="1" applyProtection="1">
      <alignment vertical="center"/>
      <protection/>
    </xf>
    <xf numFmtId="199" fontId="12" fillId="0" borderId="0" xfId="0" applyNumberFormat="1" applyFont="1" applyAlignment="1" applyProtection="1">
      <alignment vertical="center"/>
      <protection/>
    </xf>
    <xf numFmtId="214" fontId="12" fillId="0" borderId="0" xfId="0" applyNumberFormat="1" applyFont="1" applyBorder="1" applyAlignment="1" applyProtection="1">
      <alignment horizontal="right" vertical="center"/>
      <protection/>
    </xf>
    <xf numFmtId="214" fontId="10" fillId="0" borderId="0" xfId="0" applyNumberFormat="1" applyFont="1" applyAlignment="1" applyProtection="1">
      <alignment horizontal="right" vertical="center"/>
      <protection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200" fontId="0" fillId="0" borderId="55" xfId="0" applyNumberFormat="1" applyFont="1" applyBorder="1" applyAlignment="1" applyProtection="1">
      <alignment horizontal="right" vertical="center"/>
      <protection locked="0"/>
    </xf>
    <xf numFmtId="200" fontId="0" fillId="0" borderId="56" xfId="0" applyNumberFormat="1" applyBorder="1" applyAlignment="1">
      <alignment horizontal="right" vertical="center"/>
    </xf>
    <xf numFmtId="200" fontId="0" fillId="0" borderId="21" xfId="0" applyNumberFormat="1" applyBorder="1" applyAlignment="1" applyProtection="1">
      <alignment horizontal="right" vertical="center"/>
      <protection locked="0"/>
    </xf>
    <xf numFmtId="200" fontId="0" fillId="0" borderId="25" xfId="0" applyNumberFormat="1" applyBorder="1" applyAlignment="1" applyProtection="1">
      <alignment horizontal="right" vertical="center"/>
      <protection locked="0"/>
    </xf>
    <xf numFmtId="200" fontId="0" fillId="0" borderId="23" xfId="0" applyNumberFormat="1" applyBorder="1" applyAlignment="1" applyProtection="1">
      <alignment horizontal="right" vertical="center"/>
      <protection locked="0"/>
    </xf>
    <xf numFmtId="200" fontId="0" fillId="0" borderId="27" xfId="0" applyNumberFormat="1" applyBorder="1" applyAlignment="1" applyProtection="1">
      <alignment horizontal="right" vertical="center"/>
      <protection locked="0"/>
    </xf>
    <xf numFmtId="200" fontId="0" fillId="0" borderId="8" xfId="0" applyNumberFormat="1" applyBorder="1" applyAlignment="1" applyProtection="1">
      <alignment horizontal="right" vertical="center"/>
      <protection locked="0"/>
    </xf>
    <xf numFmtId="200" fontId="0" fillId="0" borderId="11" xfId="0" applyNumberFormat="1" applyBorder="1" applyAlignment="1" applyProtection="1">
      <alignment horizontal="right" vertical="center"/>
      <protection locked="0"/>
    </xf>
    <xf numFmtId="0" fontId="30" fillId="0" borderId="9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0" fillId="0" borderId="12" xfId="0" applyFont="1" applyBorder="1" applyAlignment="1">
      <alignment horizontal="center" vertical="center"/>
    </xf>
    <xf numFmtId="200" fontId="0" fillId="0" borderId="56" xfId="0" applyNumberFormat="1" applyFont="1" applyBorder="1" applyAlignment="1" applyProtection="1">
      <alignment horizontal="right" vertical="center"/>
      <protection locked="0"/>
    </xf>
    <xf numFmtId="0" fontId="38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225" fontId="0" fillId="0" borderId="27" xfId="0" applyNumberFormat="1" applyBorder="1" applyAlignment="1" applyProtection="1">
      <alignment horizontal="right" vertical="center"/>
      <protection locked="0"/>
    </xf>
    <xf numFmtId="225" fontId="0" fillId="0" borderId="20" xfId="0" applyNumberFormat="1" applyBorder="1" applyAlignment="1">
      <alignment horizontal="right" vertical="center"/>
    </xf>
    <xf numFmtId="225" fontId="0" fillId="0" borderId="11" xfId="0" applyNumberFormat="1" applyBorder="1" applyAlignment="1" applyProtection="1">
      <alignment horizontal="right" vertical="center"/>
      <protection locked="0"/>
    </xf>
    <xf numFmtId="225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4" xfId="0" applyBorder="1" applyAlignment="1">
      <alignment horizontal="center" vertical="center" wrapText="1"/>
    </xf>
    <xf numFmtId="225" fontId="0" fillId="0" borderId="56" xfId="0" applyNumberFormat="1" applyFont="1" applyBorder="1" applyAlignment="1" applyProtection="1">
      <alignment horizontal="right" vertical="center"/>
      <protection locked="0"/>
    </xf>
    <xf numFmtId="225" fontId="0" fillId="0" borderId="57" xfId="0" applyNumberFormat="1" applyBorder="1" applyAlignment="1">
      <alignment horizontal="right" vertical="center"/>
    </xf>
    <xf numFmtId="225" fontId="0" fillId="0" borderId="25" xfId="0" applyNumberFormat="1" applyBorder="1" applyAlignment="1" applyProtection="1">
      <alignment horizontal="right" vertical="center"/>
      <protection locked="0"/>
    </xf>
    <xf numFmtId="225" fontId="0" fillId="0" borderId="29" xfId="0" applyNumberFormat="1" applyBorder="1" applyAlignment="1">
      <alignment horizontal="right" vertical="center"/>
    </xf>
    <xf numFmtId="202" fontId="12" fillId="0" borderId="1" xfId="0" applyNumberFormat="1" applyFont="1" applyFill="1" applyBorder="1" applyAlignment="1" applyProtection="1">
      <alignment/>
      <protection/>
    </xf>
    <xf numFmtId="202" fontId="12" fillId="0" borderId="1" xfId="0" applyNumberFormat="1" applyFont="1" applyFill="1" applyBorder="1" applyAlignment="1" applyProtection="1">
      <alignment horizontal="center"/>
      <protection/>
    </xf>
    <xf numFmtId="201" fontId="12" fillId="0" borderId="1" xfId="0" applyNumberFormat="1" applyFont="1" applyBorder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199" fontId="12" fillId="0" borderId="1" xfId="0" applyNumberFormat="1" applyFont="1" applyBorder="1" applyAlignment="1" applyProtection="1">
      <alignment vertical="center"/>
      <protection/>
    </xf>
    <xf numFmtId="199" fontId="10" fillId="0" borderId="1" xfId="0" applyNumberFormat="1" applyFont="1" applyBorder="1" applyAlignment="1" applyProtection="1">
      <alignment vertical="center"/>
      <protection/>
    </xf>
    <xf numFmtId="201" fontId="11" fillId="0" borderId="0" xfId="0" applyNumberFormat="1" applyFont="1" applyBorder="1" applyAlignment="1" applyProtection="1">
      <alignment horizontal="center" vertical="center"/>
      <protection/>
    </xf>
    <xf numFmtId="201" fontId="11" fillId="0" borderId="0" xfId="0" applyNumberFormat="1" applyFont="1" applyAlignment="1" applyProtection="1">
      <alignment horizontal="center" vertical="center"/>
      <protection/>
    </xf>
    <xf numFmtId="200" fontId="12" fillId="0" borderId="3" xfId="0" applyNumberFormat="1" applyFont="1" applyBorder="1" applyAlignment="1" applyProtection="1">
      <alignment vertical="center"/>
      <protection/>
    </xf>
    <xf numFmtId="196" fontId="12" fillId="0" borderId="1" xfId="0" applyNumberFormat="1" applyFont="1" applyBorder="1" applyAlignment="1" applyProtection="1">
      <alignment horizontal="center"/>
      <protection/>
    </xf>
    <xf numFmtId="198" fontId="12" fillId="0" borderId="0" xfId="0" applyNumberFormat="1" applyFont="1" applyBorder="1" applyAlignment="1" applyProtection="1">
      <alignment vertical="center"/>
      <protection/>
    </xf>
    <xf numFmtId="198" fontId="10" fillId="0" borderId="0" xfId="0" applyNumberFormat="1" applyFont="1" applyAlignment="1" applyProtection="1">
      <alignment vertical="center"/>
      <protection/>
    </xf>
    <xf numFmtId="198" fontId="12" fillId="0" borderId="1" xfId="0" applyNumberFormat="1" applyFont="1" applyBorder="1" applyAlignment="1" applyProtection="1">
      <alignment vertical="center"/>
      <protection/>
    </xf>
    <xf numFmtId="198" fontId="10" fillId="0" borderId="1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204" fontId="12" fillId="0" borderId="1" xfId="0" applyNumberFormat="1" applyFont="1" applyBorder="1" applyAlignment="1" applyProtection="1">
      <alignment vertical="center"/>
      <protection/>
    </xf>
    <xf numFmtId="198" fontId="12" fillId="0" borderId="3" xfId="0" applyNumberFormat="1" applyFont="1" applyBorder="1" applyAlignment="1" applyProtection="1">
      <alignment vertical="center"/>
      <protection/>
    </xf>
    <xf numFmtId="198" fontId="10" fillId="0" borderId="3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201" fontId="10" fillId="0" borderId="0" xfId="0" applyNumberFormat="1" applyFont="1" applyBorder="1" applyAlignment="1" applyProtection="1">
      <alignment horizontal="center" vertical="center"/>
      <protection/>
    </xf>
    <xf numFmtId="201" fontId="12" fillId="0" borderId="1" xfId="0" applyNumberFormat="1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right"/>
      <protection/>
    </xf>
    <xf numFmtId="0" fontId="12" fillId="0" borderId="1" xfId="0" applyFont="1" applyBorder="1" applyAlignment="1" applyProtection="1">
      <alignment horizontal="right"/>
      <protection/>
    </xf>
    <xf numFmtId="1" fontId="12" fillId="0" borderId="0" xfId="0" applyNumberFormat="1" applyFont="1" applyBorder="1" applyAlignment="1" applyProtection="1">
      <alignment horizontal="center" vertical="center"/>
      <protection/>
    </xf>
    <xf numFmtId="202" fontId="12" fillId="0" borderId="1" xfId="0" applyNumberFormat="1" applyFont="1" applyFill="1" applyBorder="1" applyAlignment="1" applyProtection="1">
      <alignment horizontal="right"/>
      <protection/>
    </xf>
    <xf numFmtId="201" fontId="12" fillId="0" borderId="3" xfId="0" applyNumberFormat="1" applyFont="1" applyBorder="1" applyAlignment="1" applyProtection="1">
      <alignment vertical="center"/>
      <protection/>
    </xf>
    <xf numFmtId="201" fontId="10" fillId="0" borderId="3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201" fontId="12" fillId="0" borderId="0" xfId="0" applyNumberFormat="1" applyFont="1" applyBorder="1" applyAlignment="1" applyProtection="1">
      <alignment horizontal="right" vertical="center"/>
      <protection/>
    </xf>
    <xf numFmtId="201" fontId="12" fillId="0" borderId="1" xfId="0" applyNumberFormat="1" applyFont="1" applyBorder="1" applyAlignment="1" applyProtection="1">
      <alignment horizontal="right" vertical="center"/>
      <protection/>
    </xf>
    <xf numFmtId="201" fontId="10" fillId="0" borderId="1" xfId="0" applyNumberFormat="1" applyFont="1" applyBorder="1" applyAlignment="1" applyProtection="1">
      <alignment vertical="center"/>
      <protection/>
    </xf>
    <xf numFmtId="201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201" fontId="12" fillId="0" borderId="0" xfId="0" applyNumberFormat="1" applyFont="1" applyBorder="1" applyAlignment="1" applyProtection="1">
      <alignment horizontal="center" vertical="center" textRotation="90"/>
      <protection/>
    </xf>
    <xf numFmtId="201" fontId="10" fillId="0" borderId="0" xfId="0" applyNumberFormat="1" applyFont="1" applyAlignment="1" applyProtection="1">
      <alignment horizontal="center" vertical="center" textRotation="90"/>
      <protection/>
    </xf>
    <xf numFmtId="201" fontId="12" fillId="0" borderId="3" xfId="0" applyNumberFormat="1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185" fontId="12" fillId="0" borderId="1" xfId="0" applyNumberFormat="1" applyFont="1" applyBorder="1" applyAlignment="1" applyProtection="1">
      <alignment horizontal="center"/>
      <protection/>
    </xf>
    <xf numFmtId="202" fontId="12" fillId="0" borderId="0" xfId="0" applyNumberFormat="1" applyFont="1" applyBorder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 quotePrefix="1">
      <alignment horizontal="center" vertical="center"/>
      <protection/>
    </xf>
    <xf numFmtId="200" fontId="10" fillId="0" borderId="0" xfId="0" applyNumberFormat="1" applyFont="1" applyBorder="1" applyAlignment="1" applyProtection="1">
      <alignment vertical="center"/>
      <protection/>
    </xf>
    <xf numFmtId="200" fontId="10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201" fontId="12" fillId="0" borderId="3" xfId="0" applyNumberFormat="1" applyFont="1" applyBorder="1" applyAlignment="1" applyProtection="1">
      <alignment horizontal="right" vertical="center"/>
      <protection/>
    </xf>
    <xf numFmtId="0" fontId="10" fillId="0" borderId="3" xfId="0" applyFont="1" applyBorder="1" applyAlignment="1" applyProtection="1">
      <alignment horizontal="right" vertical="center"/>
      <protection/>
    </xf>
    <xf numFmtId="201" fontId="12" fillId="0" borderId="1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36" fillId="0" borderId="58" xfId="22" applyFont="1" applyBorder="1" applyAlignment="1" applyProtection="1">
      <alignment horizontal="center" vertical="center"/>
      <protection locked="0"/>
    </xf>
    <xf numFmtId="0" fontId="36" fillId="0" borderId="59" xfId="21" applyFont="1" applyBorder="1" applyAlignment="1" applyProtection="1">
      <alignment horizontal="center" vertical="center"/>
      <protection locked="0"/>
    </xf>
    <xf numFmtId="0" fontId="30" fillId="0" borderId="4" xfId="22" applyFont="1" applyBorder="1" applyAlignment="1">
      <alignment horizontal="center" vertical="center"/>
      <protection/>
    </xf>
    <xf numFmtId="0" fontId="30" fillId="0" borderId="41" xfId="22" applyFont="1" applyBorder="1" applyAlignment="1">
      <alignment horizontal="center" vertical="center"/>
      <protection/>
    </xf>
    <xf numFmtId="0" fontId="30" fillId="0" borderId="5" xfId="22" applyFont="1" applyBorder="1" applyAlignment="1">
      <alignment horizontal="center" vertical="center"/>
      <protection/>
    </xf>
    <xf numFmtId="0" fontId="36" fillId="0" borderId="45" xfId="22" applyFont="1" applyBorder="1" applyAlignment="1" applyProtection="1">
      <alignment horizontal="center" vertical="center"/>
      <protection locked="0"/>
    </xf>
    <xf numFmtId="0" fontId="30" fillId="0" borderId="45" xfId="21" applyBorder="1" applyAlignment="1" applyProtection="1">
      <alignment horizontal="center" vertical="center"/>
      <protection locked="0"/>
    </xf>
    <xf numFmtId="0" fontId="36" fillId="0" borderId="60" xfId="22" applyFont="1" applyBorder="1" applyAlignment="1" applyProtection="1">
      <alignment horizontal="center" vertical="center"/>
      <protection locked="0"/>
    </xf>
    <xf numFmtId="0" fontId="36" fillId="0" borderId="60" xfId="21" applyFont="1" applyBorder="1" applyAlignment="1" applyProtection="1">
      <alignment horizontal="center" vertical="center"/>
      <protection locked="0"/>
    </xf>
    <xf numFmtId="0" fontId="36" fillId="0" borderId="61" xfId="22" applyFont="1" applyBorder="1" applyAlignment="1" applyProtection="1">
      <alignment horizontal="center" vertical="center"/>
      <protection locked="0"/>
    </xf>
    <xf numFmtId="0" fontId="36" fillId="0" borderId="59" xfId="22" applyFont="1" applyBorder="1" applyAlignment="1" applyProtection="1">
      <alignment horizontal="center" vertical="center"/>
      <protection locked="0"/>
    </xf>
    <xf numFmtId="0" fontId="30" fillId="0" borderId="62" xfId="22" applyFont="1" applyBorder="1" applyAlignment="1">
      <alignment horizontal="center" vertical="center"/>
      <protection/>
    </xf>
    <xf numFmtId="0" fontId="30" fillId="0" borderId="63" xfId="22" applyFont="1" applyBorder="1" applyAlignment="1">
      <alignment horizontal="center" vertical="center"/>
      <protection/>
    </xf>
    <xf numFmtId="0" fontId="31" fillId="0" borderId="58" xfId="22" applyFont="1" applyBorder="1" applyAlignment="1">
      <alignment horizontal="center" vertical="center"/>
      <protection/>
    </xf>
    <xf numFmtId="0" fontId="31" fillId="0" borderId="46" xfId="22" applyFont="1" applyBorder="1" applyAlignment="1">
      <alignment horizontal="center" vertical="center"/>
      <protection/>
    </xf>
    <xf numFmtId="0" fontId="30" fillId="0" borderId="4" xfId="22" applyFont="1" applyBorder="1" applyAlignment="1">
      <alignment horizontal="center" vertical="center" wrapText="1"/>
      <protection/>
    </xf>
    <xf numFmtId="0" fontId="30" fillId="0" borderId="5" xfId="21" applyBorder="1" applyAlignment="1">
      <alignment horizontal="center" vertical="center" wrapText="1"/>
      <protection/>
    </xf>
    <xf numFmtId="0" fontId="30" fillId="0" borderId="62" xfId="22" applyFont="1" applyBorder="1" applyAlignment="1">
      <alignment vertical="center"/>
      <protection/>
    </xf>
    <xf numFmtId="0" fontId="30" fillId="0" borderId="41" xfId="22" applyFont="1" applyBorder="1" applyAlignment="1">
      <alignment vertical="center"/>
      <protection/>
    </xf>
    <xf numFmtId="0" fontId="30" fillId="0" borderId="63" xfId="22" applyFont="1" applyBorder="1" applyAlignment="1">
      <alignment vertical="center"/>
      <protection/>
    </xf>
    <xf numFmtId="0" fontId="30" fillId="0" borderId="16" xfId="22" applyFont="1" applyBorder="1" applyAlignment="1">
      <alignment horizontal="center" vertical="center"/>
      <protection/>
    </xf>
    <xf numFmtId="0" fontId="30" fillId="0" borderId="3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30" fillId="0" borderId="6" xfId="22" applyFont="1" applyBorder="1" applyAlignment="1">
      <alignment horizontal="center" vertical="center"/>
      <protection/>
    </xf>
    <xf numFmtId="0" fontId="30" fillId="0" borderId="1" xfId="22" applyFont="1" applyBorder="1" applyAlignment="1">
      <alignment horizontal="center" vertical="center"/>
      <protection/>
    </xf>
    <xf numFmtId="0" fontId="30" fillId="0" borderId="64" xfId="22" applyFont="1" applyBorder="1" applyAlignment="1">
      <alignment horizontal="center" vertical="center"/>
      <protection/>
    </xf>
    <xf numFmtId="0" fontId="30" fillId="0" borderId="32" xfId="22" applyFont="1" applyBorder="1" applyAlignment="1">
      <alignment horizontal="center" vertical="center"/>
      <protection/>
    </xf>
    <xf numFmtId="204" fontId="11" fillId="0" borderId="0" xfId="0" applyNumberFormat="1" applyFont="1" applyBorder="1" applyAlignment="1" applyProtection="1">
      <alignment vertical="center"/>
      <protection locked="0"/>
    </xf>
    <xf numFmtId="1" fontId="10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204" fontId="12" fillId="0" borderId="0" xfId="0" applyNumberFormat="1" applyFont="1" applyBorder="1" applyAlignment="1" applyProtection="1">
      <alignment vertical="center"/>
      <protection/>
    </xf>
    <xf numFmtId="209" fontId="12" fillId="0" borderId="0" xfId="0" applyNumberFormat="1" applyFont="1" applyBorder="1" applyAlignment="1" applyProtection="1">
      <alignment vertical="center"/>
      <protection/>
    </xf>
    <xf numFmtId="199" fontId="12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 quotePrefix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99" fontId="12" fillId="0" borderId="0" xfId="0" applyNumberFormat="1" applyFont="1" applyBorder="1" applyAlignment="1" applyProtection="1">
      <alignment horizontal="center" vertical="center"/>
      <protection/>
    </xf>
    <xf numFmtId="199" fontId="12" fillId="0" borderId="0" xfId="0" applyNumberFormat="1" applyFont="1" applyAlignment="1" applyProtection="1">
      <alignment horizontal="center" vertical="center"/>
      <protection/>
    </xf>
    <xf numFmtId="20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8" xfId="0" applyNumberForma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/>
      <protection/>
    </xf>
    <xf numFmtId="0" fontId="19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19" fillId="0" borderId="33" xfId="0" applyFont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14" fillId="0" borderId="4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wrapText="1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1" fontId="10" fillId="0" borderId="3" xfId="0" applyNumberFormat="1" applyFont="1" applyBorder="1" applyAlignment="1" applyProtection="1">
      <alignment horizontal="center" vertical="top"/>
      <protection/>
    </xf>
    <xf numFmtId="0" fontId="10" fillId="0" borderId="3" xfId="0" applyFont="1" applyBorder="1" applyAlignment="1" applyProtection="1">
      <alignment horizontal="center" vertical="top"/>
      <protection/>
    </xf>
    <xf numFmtId="208" fontId="12" fillId="0" borderId="3" xfId="0" applyNumberFormat="1" applyFont="1" applyBorder="1" applyAlignment="1" applyProtection="1">
      <alignment horizontal="center" vertical="top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horizontal="center" vertical="top"/>
      <protection/>
    </xf>
    <xf numFmtId="208" fontId="12" fillId="0" borderId="0" xfId="0" applyNumberFormat="1" applyFont="1" applyBorder="1" applyAlignment="1" applyProtection="1">
      <alignment horizontal="center" vertical="center"/>
      <protection/>
    </xf>
    <xf numFmtId="208" fontId="12" fillId="0" borderId="0" xfId="0" applyNumberFormat="1" applyFont="1" applyAlignment="1" applyProtection="1">
      <alignment horizontal="center" vertical="center"/>
      <protection/>
    </xf>
    <xf numFmtId="208" fontId="12" fillId="0" borderId="1" xfId="0" applyNumberFormat="1" applyFont="1" applyBorder="1" applyAlignment="1" applyProtection="1">
      <alignment horizontal="center" vertical="center"/>
      <protection/>
    </xf>
    <xf numFmtId="198" fontId="12" fillId="0" borderId="0" xfId="0" applyNumberFormat="1" applyFont="1" applyAlignment="1" applyProtection="1">
      <alignment horizontal="center" vertical="center"/>
      <protection/>
    </xf>
    <xf numFmtId="198" fontId="12" fillId="0" borderId="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 quotePrefix="1">
      <alignment horizontal="center" vertical="center"/>
      <protection/>
    </xf>
    <xf numFmtId="208" fontId="12" fillId="0" borderId="1" xfId="0" applyNumberFormat="1" applyFont="1" applyBorder="1" applyAlignment="1" applyProtection="1">
      <alignment horizontal="center"/>
      <protection/>
    </xf>
    <xf numFmtId="209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97" fontId="12" fillId="0" borderId="0" xfId="0" applyNumberFormat="1" applyFont="1" applyBorder="1" applyAlignment="1" applyProtection="1">
      <alignment horizontal="center" vertical="center"/>
      <protection/>
    </xf>
    <xf numFmtId="197" fontId="10" fillId="0" borderId="0" xfId="0" applyNumberFormat="1" applyFont="1" applyAlignment="1" applyProtection="1">
      <alignment horizontal="center" vertical="center"/>
      <protection/>
    </xf>
    <xf numFmtId="197" fontId="10" fillId="0" borderId="0" xfId="0" applyNumberFormat="1" applyFont="1" applyAlignment="1" applyProtection="1">
      <alignment vertical="center"/>
      <protection/>
    </xf>
    <xf numFmtId="201" fontId="11" fillId="0" borderId="0" xfId="0" applyNumberFormat="1" applyFont="1" applyBorder="1" applyAlignment="1" applyProtection="1">
      <alignment horizontal="right" vertical="center"/>
      <protection locked="0"/>
    </xf>
    <xf numFmtId="201" fontId="11" fillId="0" borderId="0" xfId="0" applyNumberFormat="1" applyFont="1" applyAlignment="1" applyProtection="1">
      <alignment horizontal="right" vertical="center"/>
      <protection locked="0"/>
    </xf>
    <xf numFmtId="201" fontId="10" fillId="0" borderId="0" xfId="0" applyNumberFormat="1" applyFont="1" applyAlignment="1" applyProtection="1">
      <alignment vertical="center"/>
      <protection locked="0"/>
    </xf>
    <xf numFmtId="204" fontId="12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210" fontId="10" fillId="0" borderId="0" xfId="0" applyNumberFormat="1" applyFont="1" applyBorder="1" applyAlignment="1" applyProtection="1">
      <alignment horizontal="center" vertical="center"/>
      <protection/>
    </xf>
    <xf numFmtId="21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208" fontId="10" fillId="0" borderId="3" xfId="0" applyNumberFormat="1" applyFont="1" applyBorder="1" applyAlignment="1" applyProtection="1">
      <alignment horizontal="center" vertical="top"/>
      <protection/>
    </xf>
    <xf numFmtId="210" fontId="12" fillId="0" borderId="0" xfId="0" applyNumberFormat="1" applyFont="1" applyBorder="1" applyAlignment="1" applyProtection="1">
      <alignment horizontal="right" vertical="center"/>
      <protection/>
    </xf>
    <xf numFmtId="210" fontId="12" fillId="0" borderId="0" xfId="0" applyNumberFormat="1" applyFont="1" applyAlignment="1" applyProtection="1">
      <alignment horizontal="right" vertical="center"/>
      <protection/>
    </xf>
    <xf numFmtId="200" fontId="11" fillId="0" borderId="0" xfId="0" applyNumberFormat="1" applyFont="1" applyBorder="1" applyAlignment="1" applyProtection="1">
      <alignment horizontal="center" vertical="center" textRotation="90"/>
      <protection locked="0"/>
    </xf>
    <xf numFmtId="200" fontId="11" fillId="0" borderId="0" xfId="0" applyNumberFormat="1" applyFont="1" applyAlignment="1" applyProtection="1">
      <alignment horizontal="center" vertical="center" textRotation="90"/>
      <protection locked="0"/>
    </xf>
    <xf numFmtId="200" fontId="11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201" fontId="11" fillId="0" borderId="0" xfId="0" applyNumberFormat="1" applyFont="1" applyBorder="1" applyAlignment="1" applyProtection="1">
      <alignment horizontal="center" vertical="center"/>
      <protection locked="0"/>
    </xf>
    <xf numFmtId="201" fontId="12" fillId="0" borderId="0" xfId="0" applyNumberFormat="1" applyFont="1" applyBorder="1" applyAlignment="1" applyProtection="1">
      <alignment horizontal="left" vertical="center"/>
      <protection/>
    </xf>
    <xf numFmtId="200" fontId="11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201" fontId="11" fillId="0" borderId="0" xfId="0" applyNumberFormat="1" applyFont="1" applyBorder="1" applyAlignment="1" applyProtection="1">
      <alignment horizontal="left" vertical="center"/>
      <protection locked="0"/>
    </xf>
    <xf numFmtId="201" fontId="11" fillId="0" borderId="0" xfId="0" applyNumberFormat="1" applyFont="1" applyBorder="1" applyAlignment="1" applyProtection="1">
      <alignment horizontal="left" vertical="center"/>
      <protection/>
    </xf>
    <xf numFmtId="196" fontId="12" fillId="0" borderId="0" xfId="0" applyNumberFormat="1" applyFont="1" applyBorder="1" applyAlignment="1" applyProtection="1">
      <alignment horizontal="left" vertical="center"/>
      <protection/>
    </xf>
    <xf numFmtId="196" fontId="10" fillId="0" borderId="0" xfId="0" applyNumberFormat="1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 locked="0"/>
    </xf>
    <xf numFmtId="209" fontId="12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199" fontId="12" fillId="0" borderId="0" xfId="0" applyNumberFormat="1" applyFont="1" applyBorder="1" applyAlignment="1" applyProtection="1">
      <alignment horizontal="center"/>
      <protection/>
    </xf>
    <xf numFmtId="208" fontId="12" fillId="0" borderId="0" xfId="0" applyNumberFormat="1" applyFont="1" applyBorder="1" applyAlignment="1" applyProtection="1">
      <alignment horizontal="center"/>
      <protection/>
    </xf>
    <xf numFmtId="199" fontId="12" fillId="0" borderId="1" xfId="0" applyNumberFormat="1" applyFont="1" applyBorder="1" applyAlignment="1" applyProtection="1">
      <alignment horizontal="center" vertical="center"/>
      <protection/>
    </xf>
    <xf numFmtId="199" fontId="10" fillId="0" borderId="1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top"/>
      <protection locked="0"/>
    </xf>
    <xf numFmtId="200" fontId="11" fillId="0" borderId="0" xfId="0" applyNumberFormat="1" applyFont="1" applyBorder="1" applyAlignment="1" applyProtection="1">
      <alignment horizontal="right" vertical="center" textRotation="90"/>
      <protection locked="0"/>
    </xf>
    <xf numFmtId="200" fontId="11" fillId="0" borderId="0" xfId="0" applyNumberFormat="1" applyFont="1" applyAlignment="1" applyProtection="1">
      <alignment horizontal="right" vertical="center" textRotation="90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200" fontId="12" fillId="0" borderId="0" xfId="0" applyNumberFormat="1" applyFont="1" applyBorder="1" applyAlignment="1" applyProtection="1">
      <alignment horizontal="center" vertical="center" textRotation="90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12" fillId="0" borderId="1" xfId="0" applyNumberFormat="1" applyFont="1" applyBorder="1" applyAlignment="1" applyProtection="1">
      <alignment horizontal="center"/>
      <protection/>
    </xf>
    <xf numFmtId="0" fontId="12" fillId="0" borderId="3" xfId="0" applyNumberFormat="1" applyFont="1" applyBorder="1" applyAlignment="1" applyProtection="1">
      <alignment horizontal="center" vertical="center"/>
      <protection/>
    </xf>
    <xf numFmtId="200" fontId="10" fillId="0" borderId="0" xfId="0" applyNumberFormat="1" applyFont="1" applyBorder="1" applyAlignment="1" applyProtection="1">
      <alignment horizontal="center" vertical="top" textRotation="90"/>
      <protection/>
    </xf>
    <xf numFmtId="0" fontId="10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center"/>
      <protection/>
    </xf>
    <xf numFmtId="208" fontId="10" fillId="0" borderId="0" xfId="0" applyNumberFormat="1" applyFont="1" applyBorder="1" applyAlignment="1" applyProtection="1">
      <alignment horizontal="center" vertical="center"/>
      <protection/>
    </xf>
    <xf numFmtId="208" fontId="10" fillId="0" borderId="0" xfId="0" applyNumberFormat="1" applyFont="1" applyAlignment="1" applyProtection="1">
      <alignment horizontal="center" vertical="center"/>
      <protection/>
    </xf>
    <xf numFmtId="210" fontId="12" fillId="0" borderId="1" xfId="0" applyNumberFormat="1" applyFont="1" applyBorder="1" applyAlignment="1" applyProtection="1">
      <alignment horizontal="center"/>
      <protection/>
    </xf>
    <xf numFmtId="210" fontId="12" fillId="0" borderId="3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216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3" xfId="0" applyNumberFormat="1" applyFont="1" applyBorder="1" applyAlignment="1" applyProtection="1">
      <alignment horizontal="center" vertical="center"/>
      <protection/>
    </xf>
    <xf numFmtId="199" fontId="10" fillId="0" borderId="0" xfId="0" applyNumberFormat="1" applyFont="1" applyAlignment="1" applyProtection="1">
      <alignment horizontal="center" vertical="center"/>
      <protection/>
    </xf>
    <xf numFmtId="210" fontId="10" fillId="0" borderId="0" xfId="0" applyNumberFormat="1" applyFont="1" applyAlignment="1" applyProtection="1">
      <alignment horizontal="center" vertical="center"/>
      <protection/>
    </xf>
    <xf numFmtId="215" fontId="12" fillId="0" borderId="3" xfId="0" applyNumberFormat="1" applyFont="1" applyBorder="1" applyAlignment="1" applyProtection="1">
      <alignment vertical="center"/>
      <protection/>
    </xf>
    <xf numFmtId="216" fontId="12" fillId="0" borderId="3" xfId="0" applyNumberFormat="1" applyFont="1" applyBorder="1" applyAlignment="1" applyProtection="1">
      <alignment vertical="center"/>
      <protection/>
    </xf>
    <xf numFmtId="215" fontId="12" fillId="0" borderId="3" xfId="0" applyNumberFormat="1" applyFont="1" applyBorder="1" applyAlignment="1" applyProtection="1">
      <alignment horizontal="center" vertical="center"/>
      <protection/>
    </xf>
    <xf numFmtId="200" fontId="12" fillId="0" borderId="1" xfId="0" applyNumberFormat="1" applyFont="1" applyBorder="1" applyAlignment="1" applyProtection="1">
      <alignment/>
      <protection/>
    </xf>
    <xf numFmtId="210" fontId="12" fillId="0" borderId="1" xfId="0" applyNumberFormat="1" applyFont="1" applyBorder="1" applyAlignment="1" applyProtection="1">
      <alignment/>
      <protection/>
    </xf>
    <xf numFmtId="215" fontId="12" fillId="0" borderId="0" xfId="0" applyNumberFormat="1" applyFont="1" applyBorder="1" applyAlignment="1" applyProtection="1">
      <alignment horizontal="center" vertical="center"/>
      <protection/>
    </xf>
    <xf numFmtId="204" fontId="10" fillId="0" borderId="0" xfId="0" applyNumberFormat="1" applyFont="1" applyAlignment="1" applyProtection="1">
      <alignment horizontal="center" vertical="center"/>
      <protection/>
    </xf>
    <xf numFmtId="0" fontId="27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200" fontId="12" fillId="0" borderId="3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vertical="center"/>
      <protection/>
    </xf>
    <xf numFmtId="200" fontId="12" fillId="0" borderId="0" xfId="0" applyNumberFormat="1" applyFont="1" applyAlignment="1" applyProtection="1">
      <alignment horizontal="center" vertical="center"/>
      <protection/>
    </xf>
    <xf numFmtId="199" fontId="12" fillId="0" borderId="1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199" fontId="12" fillId="0" borderId="1" xfId="0" applyNumberFormat="1" applyFont="1" applyFill="1" applyBorder="1" applyAlignment="1" applyProtection="1">
      <alignment horizontal="center"/>
      <protection/>
    </xf>
    <xf numFmtId="210" fontId="12" fillId="0" borderId="1" xfId="0" applyNumberFormat="1" applyFont="1" applyFill="1" applyBorder="1" applyAlignment="1" applyProtection="1">
      <alignment horizontal="center"/>
      <protection/>
    </xf>
    <xf numFmtId="200" fontId="12" fillId="0" borderId="3" xfId="0" applyNumberFormat="1" applyFont="1" applyFill="1" applyBorder="1" applyAlignment="1" applyProtection="1">
      <alignment horizontal="center" vertical="center"/>
      <protection/>
    </xf>
    <xf numFmtId="200" fontId="12" fillId="0" borderId="1" xfId="0" applyNumberFormat="1" applyFont="1" applyFill="1" applyBorder="1" applyAlignment="1" applyProtection="1">
      <alignment horizontal="center"/>
      <protection/>
    </xf>
    <xf numFmtId="200" fontId="12" fillId="0" borderId="0" xfId="0" applyNumberFormat="1" applyFont="1" applyFill="1" applyBorder="1" applyAlignment="1" applyProtection="1">
      <alignment horizontal="center" vertical="center"/>
      <protection/>
    </xf>
    <xf numFmtId="200" fontId="12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201" fontId="12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201" fontId="19" fillId="0" borderId="0" xfId="0" applyNumberFormat="1" applyFont="1" applyBorder="1" applyAlignment="1" applyProtection="1">
      <alignment horizontal="left" vertical="center"/>
      <protection/>
    </xf>
    <xf numFmtId="200" fontId="18" fillId="0" borderId="0" xfId="0" applyNumberFormat="1" applyFont="1" applyBorder="1" applyAlignment="1" applyProtection="1">
      <alignment horizontal="center" textRotation="90"/>
      <protection locked="0"/>
    </xf>
    <xf numFmtId="200" fontId="14" fillId="0" borderId="0" xfId="0" applyNumberFormat="1" applyFont="1" applyBorder="1" applyAlignment="1" applyProtection="1">
      <alignment horizontal="center" vertical="top" textRotation="90"/>
      <protection/>
    </xf>
    <xf numFmtId="0" fontId="14" fillId="0" borderId="0" xfId="0" applyFont="1" applyAlignment="1" applyProtection="1">
      <alignment horizontal="center" vertical="top"/>
      <protection/>
    </xf>
    <xf numFmtId="200" fontId="18" fillId="0" borderId="0" xfId="0" applyNumberFormat="1" applyFont="1" applyBorder="1" applyAlignment="1" applyProtection="1">
      <alignment horizontal="center" vertical="center" textRotation="90"/>
      <protection locked="0"/>
    </xf>
    <xf numFmtId="200" fontId="18" fillId="0" borderId="0" xfId="0" applyNumberFormat="1" applyFont="1" applyAlignment="1" applyProtection="1">
      <alignment horizontal="center" vertical="center" textRotation="90"/>
      <protection locked="0"/>
    </xf>
    <xf numFmtId="199" fontId="19" fillId="0" borderId="0" xfId="0" applyNumberFormat="1" applyFont="1" applyBorder="1" applyAlignment="1" applyProtection="1">
      <alignment horizontal="center" vertical="center"/>
      <protection/>
    </xf>
    <xf numFmtId="200" fontId="1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204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197" fontId="12" fillId="0" borderId="0" xfId="0" applyNumberFormat="1" applyFont="1" applyBorder="1" applyAlignment="1" applyProtection="1">
      <alignment horizontal="left" vertical="center"/>
      <protection/>
    </xf>
    <xf numFmtId="197" fontId="10" fillId="0" borderId="0" xfId="0" applyNumberFormat="1" applyFont="1" applyAlignment="1" applyProtection="1">
      <alignment horizontal="left" vertical="center"/>
      <protection/>
    </xf>
    <xf numFmtId="0" fontId="14" fillId="0" borderId="0" xfId="0" applyNumberFormat="1" applyFont="1" applyBorder="1" applyAlignment="1" applyProtection="1">
      <alignment horizontal="center" vertical="top" textRotation="90"/>
      <protection/>
    </xf>
    <xf numFmtId="196" fontId="12" fillId="0" borderId="0" xfId="0" applyNumberFormat="1" applyFont="1" applyBorder="1" applyAlignment="1" applyProtection="1">
      <alignment horizontal="center" vertical="center"/>
      <protection/>
    </xf>
    <xf numFmtId="196" fontId="10" fillId="0" borderId="0" xfId="0" applyNumberFormat="1" applyFont="1" applyAlignment="1" applyProtection="1">
      <alignment horizontal="center" vertical="center"/>
      <protection/>
    </xf>
    <xf numFmtId="196" fontId="10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center"/>
      <protection locked="0"/>
    </xf>
    <xf numFmtId="199" fontId="19" fillId="0" borderId="0" xfId="0" applyNumberFormat="1" applyFont="1" applyBorder="1" applyAlignment="1" applyProtection="1">
      <alignment horizontal="right" vertical="center"/>
      <protection/>
    </xf>
    <xf numFmtId="200" fontId="19" fillId="0" borderId="0" xfId="0" applyNumberFormat="1" applyFont="1" applyBorder="1" applyAlignment="1" applyProtection="1">
      <alignment horizontal="center" vertical="center" textRotation="90"/>
      <protection/>
    </xf>
    <xf numFmtId="0" fontId="14" fillId="0" borderId="0" xfId="0" applyFont="1" applyAlignment="1" applyProtection="1">
      <alignment vertical="center"/>
      <protection/>
    </xf>
    <xf numFmtId="200" fontId="19" fillId="0" borderId="0" xfId="0" applyNumberFormat="1" applyFont="1" applyBorder="1" applyAlignment="1" applyProtection="1">
      <alignment horizontal="center" textRotation="90"/>
      <protection/>
    </xf>
    <xf numFmtId="0" fontId="14" fillId="0" borderId="0" xfId="0" applyFont="1" applyAlignment="1" applyProtection="1">
      <alignment horizontal="center"/>
      <protection/>
    </xf>
    <xf numFmtId="202" fontId="12" fillId="0" borderId="0" xfId="0" applyNumberFormat="1" applyFont="1" applyFill="1" applyBorder="1" applyAlignment="1" applyProtection="1">
      <alignment vertical="center"/>
      <protection/>
    </xf>
    <xf numFmtId="208" fontId="12" fillId="0" borderId="0" xfId="0" applyNumberFormat="1" applyFont="1" applyFill="1" applyBorder="1" applyAlignment="1" applyProtection="1">
      <alignment horizontal="center" vertical="center"/>
      <protection/>
    </xf>
    <xf numFmtId="202" fontId="12" fillId="0" borderId="0" xfId="0" applyNumberFormat="1" applyFont="1" applyFill="1" applyBorder="1" applyAlignment="1" applyProtection="1">
      <alignment horizontal="center" vertical="center"/>
      <protection/>
    </xf>
    <xf numFmtId="20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203" fontId="12" fillId="0" borderId="3" xfId="0" applyNumberFormat="1" applyFont="1" applyFill="1" applyBorder="1" applyAlignment="1" applyProtection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horizontal="center" vertical="center"/>
      <protection/>
    </xf>
    <xf numFmtId="201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top" textRotation="90"/>
      <protection/>
    </xf>
    <xf numFmtId="200" fontId="12" fillId="0" borderId="0" xfId="0" applyNumberFormat="1" applyFont="1" applyBorder="1" applyAlignment="1" applyProtection="1">
      <alignment horizontal="center" textRotation="90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200" fontId="12" fillId="0" borderId="0" xfId="0" applyNumberFormat="1" applyFont="1" applyAlignment="1" applyProtection="1">
      <alignment horizontal="center" textRotation="90"/>
      <protection/>
    </xf>
    <xf numFmtId="0" fontId="10" fillId="0" borderId="1" xfId="0" applyNumberFormat="1" applyFont="1" applyBorder="1" applyAlignment="1" applyProtection="1">
      <alignment horizontal="center"/>
      <protection/>
    </xf>
    <xf numFmtId="216" fontId="12" fillId="0" borderId="1" xfId="0" applyNumberFormat="1" applyFont="1" applyBorder="1" applyAlignment="1" applyProtection="1">
      <alignment/>
      <protection/>
    </xf>
    <xf numFmtId="210" fontId="10" fillId="0" borderId="3" xfId="0" applyNumberFormat="1" applyFont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38" fontId="5" fillId="0" borderId="0" xfId="17" applyFont="1" applyAlignment="1">
      <alignment horizontal="right"/>
    </xf>
    <xf numFmtId="0" fontId="10" fillId="0" borderId="0" xfId="0" applyFont="1" applyAlignment="1" applyProtection="1">
      <alignment horizontal="distributed" indent="1"/>
      <protection locked="0"/>
    </xf>
    <xf numFmtId="0" fontId="0" fillId="0" borderId="0" xfId="0" applyAlignment="1" applyProtection="1">
      <alignment horizontal="distributed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◆設計風速" xfId="21"/>
    <cellStyle name="標準_設計風速(H15.5.9修正済み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54</xdr:row>
      <xdr:rowOff>219075</xdr:rowOff>
    </xdr:from>
    <xdr:to>
      <xdr:col>11</xdr:col>
      <xdr:colOff>295275</xdr:colOff>
      <xdr:row>59</xdr:row>
      <xdr:rowOff>104775</xdr:rowOff>
    </xdr:to>
    <xdr:sp>
      <xdr:nvSpPr>
        <xdr:cNvPr id="1" name="AutoShape 18"/>
        <xdr:cNvSpPr>
          <a:spLocks/>
        </xdr:cNvSpPr>
      </xdr:nvSpPr>
      <xdr:spPr>
        <a:xfrm>
          <a:off x="2371725" y="12553950"/>
          <a:ext cx="1485900" cy="1028700"/>
        </a:xfrm>
        <a:custGeom>
          <a:pathLst>
            <a:path h="108" w="124">
              <a:moveTo>
                <a:pt x="0" y="74"/>
              </a:moveTo>
              <a:cubicBezTo>
                <a:pt x="0" y="65"/>
                <a:pt x="0" y="29"/>
                <a:pt x="0" y="17"/>
              </a:cubicBezTo>
              <a:cubicBezTo>
                <a:pt x="0" y="5"/>
                <a:pt x="3" y="0"/>
                <a:pt x="16" y="0"/>
              </a:cubicBezTo>
              <a:cubicBezTo>
                <a:pt x="29" y="0"/>
                <a:pt x="102" y="0"/>
                <a:pt x="111" y="1"/>
              </a:cubicBezTo>
              <a:cubicBezTo>
                <a:pt x="120" y="2"/>
                <a:pt x="124" y="8"/>
                <a:pt x="124" y="18"/>
              </a:cubicBezTo>
              <a:cubicBezTo>
                <a:pt x="124" y="28"/>
                <a:pt x="124" y="89"/>
                <a:pt x="124" y="108"/>
              </a:cubicBez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295275</xdr:colOff>
      <xdr:row>58</xdr:row>
      <xdr:rowOff>133350</xdr:rowOff>
    </xdr:from>
    <xdr:to>
      <xdr:col>12</xdr:col>
      <xdr:colOff>276225</xdr:colOff>
      <xdr:row>60</xdr:row>
      <xdr:rowOff>0</xdr:rowOff>
    </xdr:to>
    <xdr:sp>
      <xdr:nvSpPr>
        <xdr:cNvPr id="2" name="Oval 19"/>
        <xdr:cNvSpPr>
          <a:spLocks/>
        </xdr:cNvSpPr>
      </xdr:nvSpPr>
      <xdr:spPr>
        <a:xfrm>
          <a:off x="3857625" y="13382625"/>
          <a:ext cx="304800" cy="323850"/>
        </a:xfrm>
        <a:prstGeom prst="ellipse">
          <a:avLst/>
        </a:prstGeom>
        <a:solidFill>
          <a:srgbClr val="FFFFFF"/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142875</xdr:colOff>
      <xdr:row>58</xdr:row>
      <xdr:rowOff>66675</xdr:rowOff>
    </xdr:from>
    <xdr:to>
      <xdr:col>7</xdr:col>
      <xdr:colOff>142875</xdr:colOff>
      <xdr:row>60</xdr:row>
      <xdr:rowOff>219075</xdr:rowOff>
    </xdr:to>
    <xdr:sp>
      <xdr:nvSpPr>
        <xdr:cNvPr id="3" name="Line 20"/>
        <xdr:cNvSpPr>
          <a:spLocks/>
        </xdr:cNvSpPr>
      </xdr:nvSpPr>
      <xdr:spPr>
        <a:xfrm flipV="1">
          <a:off x="2409825" y="13315950"/>
          <a:ext cx="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285750</xdr:colOff>
      <xdr:row>59</xdr:row>
      <xdr:rowOff>180975</xdr:rowOff>
    </xdr:from>
    <xdr:to>
      <xdr:col>11</xdr:col>
      <xdr:colOff>285750</xdr:colOff>
      <xdr:row>60</xdr:row>
      <xdr:rowOff>219075</xdr:rowOff>
    </xdr:to>
    <xdr:sp>
      <xdr:nvSpPr>
        <xdr:cNvPr id="4" name="Line 21"/>
        <xdr:cNvSpPr>
          <a:spLocks/>
        </xdr:cNvSpPr>
      </xdr:nvSpPr>
      <xdr:spPr>
        <a:xfrm flipV="1">
          <a:off x="3848100" y="13658850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285750</xdr:colOff>
      <xdr:row>54</xdr:row>
      <xdr:rowOff>200025</xdr:rowOff>
    </xdr:from>
    <xdr:to>
      <xdr:col>7</xdr:col>
      <xdr:colOff>9525</xdr:colOff>
      <xdr:row>54</xdr:row>
      <xdr:rowOff>200025</xdr:rowOff>
    </xdr:to>
    <xdr:sp>
      <xdr:nvSpPr>
        <xdr:cNvPr id="5" name="Line 22"/>
        <xdr:cNvSpPr>
          <a:spLocks/>
        </xdr:cNvSpPr>
      </xdr:nvSpPr>
      <xdr:spPr>
        <a:xfrm flipH="1">
          <a:off x="1905000" y="125349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295275</xdr:colOff>
      <xdr:row>58</xdr:row>
      <xdr:rowOff>0</xdr:rowOff>
    </xdr:from>
    <xdr:to>
      <xdr:col>7</xdr:col>
      <xdr:colOff>28575</xdr:colOff>
      <xdr:row>58</xdr:row>
      <xdr:rowOff>0</xdr:rowOff>
    </xdr:to>
    <xdr:sp>
      <xdr:nvSpPr>
        <xdr:cNvPr id="6" name="Line 23"/>
        <xdr:cNvSpPr>
          <a:spLocks/>
        </xdr:cNvSpPr>
      </xdr:nvSpPr>
      <xdr:spPr>
        <a:xfrm flipH="1">
          <a:off x="1914525" y="13249275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28575</xdr:colOff>
      <xdr:row>54</xdr:row>
      <xdr:rowOff>200025</xdr:rowOff>
    </xdr:from>
    <xdr:to>
      <xdr:col>6</xdr:col>
      <xdr:colOff>28575</xdr:colOff>
      <xdr:row>58</xdr:row>
      <xdr:rowOff>9525</xdr:rowOff>
    </xdr:to>
    <xdr:sp>
      <xdr:nvSpPr>
        <xdr:cNvPr id="7" name="Line 24"/>
        <xdr:cNvSpPr>
          <a:spLocks/>
        </xdr:cNvSpPr>
      </xdr:nvSpPr>
      <xdr:spPr>
        <a:xfrm>
          <a:off x="1971675" y="12534900"/>
          <a:ext cx="0" cy="723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133350</xdr:colOff>
      <xdr:row>60</xdr:row>
      <xdr:rowOff>219075</xdr:rowOff>
    </xdr:from>
    <xdr:to>
      <xdr:col>11</xdr:col>
      <xdr:colOff>295275</xdr:colOff>
      <xdr:row>60</xdr:row>
      <xdr:rowOff>219075</xdr:rowOff>
    </xdr:to>
    <xdr:sp>
      <xdr:nvSpPr>
        <xdr:cNvPr id="8" name="Line 25"/>
        <xdr:cNvSpPr>
          <a:spLocks/>
        </xdr:cNvSpPr>
      </xdr:nvSpPr>
      <xdr:spPr>
        <a:xfrm flipH="1">
          <a:off x="2400300" y="13925550"/>
          <a:ext cx="14573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295275</xdr:colOff>
      <xdr:row>59</xdr:row>
      <xdr:rowOff>180975</xdr:rowOff>
    </xdr:from>
    <xdr:to>
      <xdr:col>12</xdr:col>
      <xdr:colOff>295275</xdr:colOff>
      <xdr:row>60</xdr:row>
      <xdr:rowOff>219075</xdr:rowOff>
    </xdr:to>
    <xdr:sp>
      <xdr:nvSpPr>
        <xdr:cNvPr id="9" name="Line 26"/>
        <xdr:cNvSpPr>
          <a:spLocks/>
        </xdr:cNvSpPr>
      </xdr:nvSpPr>
      <xdr:spPr>
        <a:xfrm flipV="1">
          <a:off x="4181475" y="13658850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285750</xdr:colOff>
      <xdr:row>60</xdr:row>
      <xdr:rowOff>219075</xdr:rowOff>
    </xdr:from>
    <xdr:to>
      <xdr:col>12</xdr:col>
      <xdr:colOff>295275</xdr:colOff>
      <xdr:row>60</xdr:row>
      <xdr:rowOff>219075</xdr:rowOff>
    </xdr:to>
    <xdr:sp>
      <xdr:nvSpPr>
        <xdr:cNvPr id="10" name="Line 27"/>
        <xdr:cNvSpPr>
          <a:spLocks/>
        </xdr:cNvSpPr>
      </xdr:nvSpPr>
      <xdr:spPr>
        <a:xfrm flipH="1">
          <a:off x="3848100" y="139255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209550</xdr:rowOff>
    </xdr:from>
    <xdr:to>
      <xdr:col>16</xdr:col>
      <xdr:colOff>28575</xdr:colOff>
      <xdr:row>54</xdr:row>
      <xdr:rowOff>209550</xdr:rowOff>
    </xdr:to>
    <xdr:sp>
      <xdr:nvSpPr>
        <xdr:cNvPr id="11" name="Line 28"/>
        <xdr:cNvSpPr>
          <a:spLocks/>
        </xdr:cNvSpPr>
      </xdr:nvSpPr>
      <xdr:spPr>
        <a:xfrm>
          <a:off x="3886200" y="12544425"/>
          <a:ext cx="1323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266700</xdr:colOff>
      <xdr:row>60</xdr:row>
      <xdr:rowOff>19050</xdr:rowOff>
    </xdr:from>
    <xdr:to>
      <xdr:col>16</xdr:col>
      <xdr:colOff>0</xdr:colOff>
      <xdr:row>60</xdr:row>
      <xdr:rowOff>19050</xdr:rowOff>
    </xdr:to>
    <xdr:sp>
      <xdr:nvSpPr>
        <xdr:cNvPr id="12" name="Line 29"/>
        <xdr:cNvSpPr>
          <a:spLocks/>
        </xdr:cNvSpPr>
      </xdr:nvSpPr>
      <xdr:spPr>
        <a:xfrm>
          <a:off x="4152900" y="13725525"/>
          <a:ext cx="1028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266700</xdr:colOff>
      <xdr:row>58</xdr:row>
      <xdr:rowOff>123825</xdr:rowOff>
    </xdr:from>
    <xdr:to>
      <xdr:col>14</xdr:col>
      <xdr:colOff>47625</xdr:colOff>
      <xdr:row>58</xdr:row>
      <xdr:rowOff>123825</xdr:rowOff>
    </xdr:to>
    <xdr:sp>
      <xdr:nvSpPr>
        <xdr:cNvPr id="13" name="Line 30"/>
        <xdr:cNvSpPr>
          <a:spLocks/>
        </xdr:cNvSpPr>
      </xdr:nvSpPr>
      <xdr:spPr>
        <a:xfrm>
          <a:off x="4152900" y="1337310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0</xdr:colOff>
      <xdr:row>58</xdr:row>
      <xdr:rowOff>142875</xdr:rowOff>
    </xdr:from>
    <xdr:to>
      <xdr:col>14</xdr:col>
      <xdr:colOff>0</xdr:colOff>
      <xdr:row>60</xdr:row>
      <xdr:rowOff>28575</xdr:rowOff>
    </xdr:to>
    <xdr:sp>
      <xdr:nvSpPr>
        <xdr:cNvPr id="14" name="Line 31"/>
        <xdr:cNvSpPr>
          <a:spLocks/>
        </xdr:cNvSpPr>
      </xdr:nvSpPr>
      <xdr:spPr>
        <a:xfrm>
          <a:off x="4533900" y="1339215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209550</xdr:rowOff>
    </xdr:from>
    <xdr:to>
      <xdr:col>16</xdr:col>
      <xdr:colOff>0</xdr:colOff>
      <xdr:row>60</xdr:row>
      <xdr:rowOff>28575</xdr:rowOff>
    </xdr:to>
    <xdr:sp>
      <xdr:nvSpPr>
        <xdr:cNvPr id="15" name="Line 32"/>
        <xdr:cNvSpPr>
          <a:spLocks/>
        </xdr:cNvSpPr>
      </xdr:nvSpPr>
      <xdr:spPr>
        <a:xfrm>
          <a:off x="5181600" y="12544425"/>
          <a:ext cx="0" cy="11906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266700</xdr:colOff>
      <xdr:row>55</xdr:row>
      <xdr:rowOff>123825</xdr:rowOff>
    </xdr:from>
    <xdr:to>
      <xdr:col>11</xdr:col>
      <xdr:colOff>104775</xdr:colOff>
      <xdr:row>56</xdr:row>
      <xdr:rowOff>142875</xdr:rowOff>
    </xdr:to>
    <xdr:sp>
      <xdr:nvSpPr>
        <xdr:cNvPr id="16" name="Line 33"/>
        <xdr:cNvSpPr>
          <a:spLocks/>
        </xdr:cNvSpPr>
      </xdr:nvSpPr>
      <xdr:spPr>
        <a:xfrm flipV="1">
          <a:off x="3181350" y="12687300"/>
          <a:ext cx="485775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238125</xdr:colOff>
      <xdr:row>55</xdr:row>
      <xdr:rowOff>76200</xdr:rowOff>
    </xdr:from>
    <xdr:to>
      <xdr:col>9</xdr:col>
      <xdr:colOff>47625</xdr:colOff>
      <xdr:row>56</xdr:row>
      <xdr:rowOff>133350</xdr:rowOff>
    </xdr:to>
    <xdr:sp>
      <xdr:nvSpPr>
        <xdr:cNvPr id="17" name="Line 34"/>
        <xdr:cNvSpPr>
          <a:spLocks/>
        </xdr:cNvSpPr>
      </xdr:nvSpPr>
      <xdr:spPr>
        <a:xfrm flipH="1" flipV="1">
          <a:off x="2505075" y="12639675"/>
          <a:ext cx="45720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57</xdr:row>
      <xdr:rowOff>142875</xdr:rowOff>
    </xdr:from>
    <xdr:to>
      <xdr:col>13</xdr:col>
      <xdr:colOff>28575</xdr:colOff>
      <xdr:row>58</xdr:row>
      <xdr:rowOff>133350</xdr:rowOff>
    </xdr:to>
    <xdr:sp>
      <xdr:nvSpPr>
        <xdr:cNvPr id="18" name="Line 35"/>
        <xdr:cNvSpPr>
          <a:spLocks/>
        </xdr:cNvSpPr>
      </xdr:nvSpPr>
      <xdr:spPr>
        <a:xfrm flipH="1">
          <a:off x="3886200" y="13163550"/>
          <a:ext cx="352425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114300</xdr:rowOff>
    </xdr:from>
    <xdr:to>
      <xdr:col>26</xdr:col>
      <xdr:colOff>9525</xdr:colOff>
      <xdr:row>21</xdr:row>
      <xdr:rowOff>0</xdr:rowOff>
    </xdr:to>
    <xdr:grpSp>
      <xdr:nvGrpSpPr>
        <xdr:cNvPr id="1" name="Group 100"/>
        <xdr:cNvGrpSpPr>
          <a:grpSpLocks/>
        </xdr:cNvGrpSpPr>
      </xdr:nvGrpSpPr>
      <xdr:grpSpPr>
        <a:xfrm>
          <a:off x="971550" y="1257300"/>
          <a:ext cx="7458075" cy="3543300"/>
          <a:chOff x="81" y="132"/>
          <a:chExt cx="622" cy="372"/>
        </a:xfrm>
        <a:solidFill>
          <a:srgbClr val="FFFFFF"/>
        </a:solidFill>
      </xdr:grpSpPr>
      <xdr:sp>
        <xdr:nvSpPr>
          <xdr:cNvPr id="2" name="Rectangle 90"/>
          <xdr:cNvSpPr>
            <a:spLocks/>
          </xdr:cNvSpPr>
        </xdr:nvSpPr>
        <xdr:spPr>
          <a:xfrm rot="20017606">
            <a:off x="192" y="139"/>
            <a:ext cx="4" cy="3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 rot="20017606">
            <a:off x="184" y="144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233" y="431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V="1">
            <a:off x="233" y="435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233" y="431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 flipH="1">
            <a:off x="252" y="424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Oval 7"/>
          <xdr:cNvSpPr>
            <a:spLocks/>
          </xdr:cNvSpPr>
        </xdr:nvSpPr>
        <xdr:spPr>
          <a:xfrm>
            <a:off x="214" y="348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123" y="16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Oval 9"/>
          <xdr:cNvSpPr>
            <a:spLocks/>
          </xdr:cNvSpPr>
        </xdr:nvSpPr>
        <xdr:spPr>
          <a:xfrm>
            <a:off x="166" y="252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 flipV="1">
            <a:off x="135" y="168"/>
            <a:ext cx="0" cy="21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135" y="384"/>
            <a:ext cx="5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24"/>
          <xdr:cNvSpPr>
            <a:spLocks/>
          </xdr:cNvSpPr>
        </xdr:nvSpPr>
        <xdr:spPr>
          <a:xfrm flipH="1">
            <a:off x="351" y="384"/>
            <a:ext cx="27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25"/>
          <xdr:cNvSpPr>
            <a:spLocks/>
          </xdr:cNvSpPr>
        </xdr:nvSpPr>
        <xdr:spPr>
          <a:xfrm>
            <a:off x="378" y="384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Oval 26"/>
          <xdr:cNvSpPr>
            <a:spLocks/>
          </xdr:cNvSpPr>
        </xdr:nvSpPr>
        <xdr:spPr>
          <a:xfrm flipH="1">
            <a:off x="375" y="437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Rectangle 27"/>
          <xdr:cNvSpPr>
            <a:spLocks/>
          </xdr:cNvSpPr>
        </xdr:nvSpPr>
        <xdr:spPr>
          <a:xfrm rot="18666123">
            <a:off x="120" y="340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Rectangle 30"/>
          <xdr:cNvSpPr>
            <a:spLocks/>
          </xdr:cNvSpPr>
        </xdr:nvSpPr>
        <xdr:spPr>
          <a:xfrm>
            <a:off x="558" y="167"/>
            <a:ext cx="81" cy="121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grpSp>
        <xdr:nvGrpSpPr>
          <xdr:cNvPr id="18" name="Group 31"/>
          <xdr:cNvGrpSpPr>
            <a:grpSpLocks/>
          </xdr:cNvGrpSpPr>
        </xdr:nvGrpSpPr>
        <xdr:grpSpPr>
          <a:xfrm>
            <a:off x="474" y="345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19" name="Line 32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Line 33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1" name="Group 34"/>
          <xdr:cNvGrpSpPr>
            <a:grpSpLocks/>
          </xdr:cNvGrpSpPr>
        </xdr:nvGrpSpPr>
        <xdr:grpSpPr>
          <a:xfrm>
            <a:off x="474" y="429"/>
            <a:ext cx="229" cy="6"/>
            <a:chOff x="-962" y="-7214286"/>
            <a:chExt cx="19780" cy="1332"/>
          </a:xfrm>
          <a:solidFill>
            <a:srgbClr val="FFFFFF"/>
          </a:solidFill>
        </xdr:grpSpPr>
        <xdr:sp>
          <xdr:nvSpPr>
            <xdr:cNvPr id="22" name="Line 35"/>
            <xdr:cNvSpPr>
              <a:spLocks/>
            </xdr:cNvSpPr>
          </xdr:nvSpPr>
          <xdr:spPr>
            <a:xfrm>
              <a:off x="-962" y="-7214286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3" name="Line 36"/>
            <xdr:cNvSpPr>
              <a:spLocks/>
            </xdr:cNvSpPr>
          </xdr:nvSpPr>
          <xdr:spPr>
            <a:xfrm>
              <a:off x="-962" y="-7212954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4" name="Group 37"/>
          <xdr:cNvGrpSpPr>
            <a:grpSpLocks/>
          </xdr:cNvGrpSpPr>
        </xdr:nvGrpSpPr>
        <xdr:grpSpPr>
          <a:xfrm>
            <a:off x="474" y="164"/>
            <a:ext cx="227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25" name="Line 38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6" name="Line 39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7" name="Group 40"/>
          <xdr:cNvGrpSpPr>
            <a:grpSpLocks/>
          </xdr:cNvGrpSpPr>
        </xdr:nvGrpSpPr>
        <xdr:grpSpPr>
          <a:xfrm>
            <a:off x="675" y="159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28" name="Line 41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9" name="Line 42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0" name="Line 43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1" name="Line 44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2" name="Group 45"/>
          <xdr:cNvGrpSpPr>
            <a:grpSpLocks/>
          </xdr:cNvGrpSpPr>
        </xdr:nvGrpSpPr>
        <xdr:grpSpPr>
          <a:xfrm>
            <a:off x="594" y="159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33" name="Line 46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4" name="Line 47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5" name="Line 48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6" name="Line 49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7" name="Group 50"/>
          <xdr:cNvGrpSpPr>
            <a:grpSpLocks/>
          </xdr:cNvGrpSpPr>
        </xdr:nvGrpSpPr>
        <xdr:grpSpPr>
          <a:xfrm>
            <a:off x="513" y="159"/>
            <a:ext cx="6" cy="288"/>
            <a:chOff x="486" y="576"/>
            <a:chExt cx="6" cy="312"/>
          </a:xfrm>
          <a:solidFill>
            <a:srgbClr val="FFFFFF"/>
          </a:solidFill>
        </xdr:grpSpPr>
        <xdr:sp>
          <xdr:nvSpPr>
            <xdr:cNvPr id="38" name="Line 51"/>
            <xdr:cNvSpPr>
              <a:spLocks/>
            </xdr:cNvSpPr>
          </xdr:nvSpPr>
          <xdr:spPr>
            <a:xfrm>
              <a:off x="492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9" name="Line 52"/>
            <xdr:cNvSpPr>
              <a:spLocks/>
            </xdr:cNvSpPr>
          </xdr:nvSpPr>
          <xdr:spPr>
            <a:xfrm>
              <a:off x="486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0" name="Line 53"/>
            <xdr:cNvSpPr>
              <a:spLocks/>
            </xdr:cNvSpPr>
          </xdr:nvSpPr>
          <xdr:spPr>
            <a:xfrm flipV="1">
              <a:off x="486" y="576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1" name="Line 54"/>
            <xdr:cNvSpPr>
              <a:spLocks/>
            </xdr:cNvSpPr>
          </xdr:nvSpPr>
          <xdr:spPr>
            <a:xfrm flipV="1">
              <a:off x="486" y="888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2" name="Group 55"/>
          <xdr:cNvGrpSpPr>
            <a:grpSpLocks/>
          </xdr:cNvGrpSpPr>
        </xdr:nvGrpSpPr>
        <xdr:grpSpPr>
          <a:xfrm>
            <a:off x="474" y="252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43" name="Line 56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4" name="Line 57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45" name="Line 58"/>
          <xdr:cNvSpPr>
            <a:spLocks/>
          </xdr:cNvSpPr>
        </xdr:nvSpPr>
        <xdr:spPr>
          <a:xfrm>
            <a:off x="525" y="216"/>
            <a:ext cx="4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59"/>
          <xdr:cNvSpPr>
            <a:spLocks/>
          </xdr:cNvSpPr>
        </xdr:nvSpPr>
        <xdr:spPr>
          <a:xfrm>
            <a:off x="440" y="216"/>
            <a:ext cx="8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7" name="Line 60"/>
          <xdr:cNvSpPr>
            <a:spLocks/>
          </xdr:cNvSpPr>
        </xdr:nvSpPr>
        <xdr:spPr>
          <a:xfrm>
            <a:off x="559" y="456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61"/>
          <xdr:cNvSpPr>
            <a:spLocks/>
          </xdr:cNvSpPr>
        </xdr:nvSpPr>
        <xdr:spPr>
          <a:xfrm>
            <a:off x="640" y="456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62"/>
          <xdr:cNvSpPr>
            <a:spLocks/>
          </xdr:cNvSpPr>
        </xdr:nvSpPr>
        <xdr:spPr>
          <a:xfrm>
            <a:off x="559" y="504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63"/>
          <xdr:cNvSpPr>
            <a:spLocks/>
          </xdr:cNvSpPr>
        </xdr:nvSpPr>
        <xdr:spPr>
          <a:xfrm>
            <a:off x="139" y="167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64"/>
          <xdr:cNvSpPr>
            <a:spLocks/>
          </xdr:cNvSpPr>
        </xdr:nvSpPr>
        <xdr:spPr>
          <a:xfrm>
            <a:off x="180" y="167"/>
            <a:ext cx="61" cy="1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65"/>
          <xdr:cNvSpPr>
            <a:spLocks/>
          </xdr:cNvSpPr>
        </xdr:nvSpPr>
        <xdr:spPr>
          <a:xfrm>
            <a:off x="151" y="191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66"/>
          <xdr:cNvSpPr>
            <a:spLocks/>
          </xdr:cNvSpPr>
        </xdr:nvSpPr>
        <xdr:spPr>
          <a:xfrm>
            <a:off x="164" y="21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67"/>
          <xdr:cNvSpPr>
            <a:spLocks/>
          </xdr:cNvSpPr>
        </xdr:nvSpPr>
        <xdr:spPr>
          <a:xfrm>
            <a:off x="176" y="24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68"/>
          <xdr:cNvSpPr>
            <a:spLocks/>
          </xdr:cNvSpPr>
        </xdr:nvSpPr>
        <xdr:spPr>
          <a:xfrm>
            <a:off x="188" y="26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72"/>
          <xdr:cNvSpPr>
            <a:spLocks/>
          </xdr:cNvSpPr>
        </xdr:nvSpPr>
        <xdr:spPr>
          <a:xfrm>
            <a:off x="145" y="18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Line 73"/>
          <xdr:cNvSpPr>
            <a:spLocks/>
          </xdr:cNvSpPr>
        </xdr:nvSpPr>
        <xdr:spPr>
          <a:xfrm>
            <a:off x="157" y="20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74"/>
          <xdr:cNvSpPr>
            <a:spLocks/>
          </xdr:cNvSpPr>
        </xdr:nvSpPr>
        <xdr:spPr>
          <a:xfrm>
            <a:off x="169" y="22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75"/>
          <xdr:cNvSpPr>
            <a:spLocks/>
          </xdr:cNvSpPr>
        </xdr:nvSpPr>
        <xdr:spPr>
          <a:xfrm>
            <a:off x="181" y="25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76"/>
          <xdr:cNvSpPr>
            <a:spLocks/>
          </xdr:cNvSpPr>
        </xdr:nvSpPr>
        <xdr:spPr>
          <a:xfrm>
            <a:off x="194" y="27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84"/>
          <xdr:cNvSpPr>
            <a:spLocks/>
          </xdr:cNvSpPr>
        </xdr:nvSpPr>
        <xdr:spPr>
          <a:xfrm flipH="1">
            <a:off x="217" y="248"/>
            <a:ext cx="161" cy="10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85"/>
          <xdr:cNvSpPr>
            <a:spLocks/>
          </xdr:cNvSpPr>
        </xdr:nvSpPr>
        <xdr:spPr>
          <a:xfrm>
            <a:off x="270" y="144"/>
            <a:ext cx="189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86"/>
          <xdr:cNvSpPr>
            <a:spLocks/>
          </xdr:cNvSpPr>
        </xdr:nvSpPr>
        <xdr:spPr>
          <a:xfrm>
            <a:off x="270" y="144"/>
            <a:ext cx="54" cy="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87"/>
          <xdr:cNvSpPr>
            <a:spLocks/>
          </xdr:cNvSpPr>
        </xdr:nvSpPr>
        <xdr:spPr>
          <a:xfrm flipH="1">
            <a:off x="189" y="258"/>
            <a:ext cx="64" cy="3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88"/>
          <xdr:cNvSpPr>
            <a:spLocks/>
          </xdr:cNvSpPr>
        </xdr:nvSpPr>
        <xdr:spPr>
          <a:xfrm flipH="1">
            <a:off x="129" y="132"/>
            <a:ext cx="67" cy="3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89"/>
          <xdr:cNvSpPr>
            <a:spLocks/>
          </xdr:cNvSpPr>
        </xdr:nvSpPr>
        <xdr:spPr>
          <a:xfrm rot="16200000" flipH="1">
            <a:off x="194" y="132"/>
            <a:ext cx="60" cy="12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92"/>
          <xdr:cNvSpPr>
            <a:spLocks/>
          </xdr:cNvSpPr>
        </xdr:nvSpPr>
        <xdr:spPr>
          <a:xfrm flipH="1">
            <a:off x="189" y="225"/>
            <a:ext cx="185" cy="6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93"/>
          <xdr:cNvSpPr>
            <a:spLocks/>
          </xdr:cNvSpPr>
        </xdr:nvSpPr>
        <xdr:spPr>
          <a:xfrm flipH="1">
            <a:off x="81" y="168"/>
            <a:ext cx="2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94"/>
          <xdr:cNvSpPr>
            <a:spLocks/>
          </xdr:cNvSpPr>
        </xdr:nvSpPr>
        <xdr:spPr>
          <a:xfrm flipH="1">
            <a:off x="81" y="288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95"/>
          <xdr:cNvSpPr>
            <a:spLocks/>
          </xdr:cNvSpPr>
        </xdr:nvSpPr>
        <xdr:spPr>
          <a:xfrm>
            <a:off x="201" y="288"/>
            <a:ext cx="4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96"/>
          <xdr:cNvSpPr>
            <a:spLocks/>
          </xdr:cNvSpPr>
        </xdr:nvSpPr>
        <xdr:spPr>
          <a:xfrm flipH="1">
            <a:off x="81" y="432"/>
            <a:ext cx="13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97"/>
          <xdr:cNvSpPr>
            <a:spLocks/>
          </xdr:cNvSpPr>
        </xdr:nvSpPr>
        <xdr:spPr>
          <a:xfrm flipV="1">
            <a:off x="81" y="168"/>
            <a:ext cx="0" cy="12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98"/>
          <xdr:cNvSpPr>
            <a:spLocks/>
          </xdr:cNvSpPr>
        </xdr:nvSpPr>
        <xdr:spPr>
          <a:xfrm flipV="1">
            <a:off x="81" y="288"/>
            <a:ext cx="0" cy="14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99"/>
          <xdr:cNvSpPr>
            <a:spLocks/>
          </xdr:cNvSpPr>
        </xdr:nvSpPr>
        <xdr:spPr>
          <a:xfrm flipV="1">
            <a:off x="189" y="288"/>
            <a:ext cx="0" cy="9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26</xdr:col>
      <xdr:colOff>9525</xdr:colOff>
      <xdr:row>45</xdr:row>
      <xdr:rowOff>0</xdr:rowOff>
    </xdr:to>
    <xdr:grpSp>
      <xdr:nvGrpSpPr>
        <xdr:cNvPr id="1" name="Group 111"/>
        <xdr:cNvGrpSpPr>
          <a:grpSpLocks/>
        </xdr:cNvGrpSpPr>
      </xdr:nvGrpSpPr>
      <xdr:grpSpPr>
        <a:xfrm>
          <a:off x="647700" y="6743700"/>
          <a:ext cx="7781925" cy="3543300"/>
          <a:chOff x="54" y="108"/>
          <a:chExt cx="649" cy="37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20017606">
            <a:off x="184" y="120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33" y="40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33" y="411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33" y="407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 flipH="1">
            <a:off x="252" y="400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214" y="32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123" y="14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166" y="228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81" y="144"/>
            <a:ext cx="2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54" y="224"/>
            <a:ext cx="10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81" y="144"/>
            <a:ext cx="0" cy="8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24"/>
          <xdr:cNvSpPr>
            <a:spLocks/>
          </xdr:cNvSpPr>
        </xdr:nvSpPr>
        <xdr:spPr>
          <a:xfrm flipH="1">
            <a:off x="351" y="360"/>
            <a:ext cx="27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25"/>
          <xdr:cNvSpPr>
            <a:spLocks/>
          </xdr:cNvSpPr>
        </xdr:nvSpPr>
        <xdr:spPr>
          <a:xfrm>
            <a:off x="378" y="360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Oval 26"/>
          <xdr:cNvSpPr>
            <a:spLocks/>
          </xdr:cNvSpPr>
        </xdr:nvSpPr>
        <xdr:spPr>
          <a:xfrm flipH="1">
            <a:off x="375" y="41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Rectangle 27"/>
          <xdr:cNvSpPr>
            <a:spLocks/>
          </xdr:cNvSpPr>
        </xdr:nvSpPr>
        <xdr:spPr>
          <a:xfrm rot="18666123">
            <a:off x="120" y="316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7" name="Group 31"/>
          <xdr:cNvGrpSpPr>
            <a:grpSpLocks/>
          </xdr:cNvGrpSpPr>
        </xdr:nvGrpSpPr>
        <xdr:grpSpPr>
          <a:xfrm>
            <a:off x="474" y="321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18" name="Line 32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9" name="Line 33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0" name="Group 34"/>
          <xdr:cNvGrpSpPr>
            <a:grpSpLocks/>
          </xdr:cNvGrpSpPr>
        </xdr:nvGrpSpPr>
        <xdr:grpSpPr>
          <a:xfrm>
            <a:off x="474" y="405"/>
            <a:ext cx="229" cy="6"/>
            <a:chOff x="-962" y="-7214286"/>
            <a:chExt cx="19780" cy="1332"/>
          </a:xfrm>
          <a:solidFill>
            <a:srgbClr val="FFFFFF"/>
          </a:solidFill>
        </xdr:grpSpPr>
        <xdr:sp>
          <xdr:nvSpPr>
            <xdr:cNvPr id="21" name="Line 35"/>
            <xdr:cNvSpPr>
              <a:spLocks/>
            </xdr:cNvSpPr>
          </xdr:nvSpPr>
          <xdr:spPr>
            <a:xfrm>
              <a:off x="-962" y="-7214286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2" name="Line 36"/>
            <xdr:cNvSpPr>
              <a:spLocks/>
            </xdr:cNvSpPr>
          </xdr:nvSpPr>
          <xdr:spPr>
            <a:xfrm>
              <a:off x="-962" y="-7212954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3" name="Group 37"/>
          <xdr:cNvGrpSpPr>
            <a:grpSpLocks/>
          </xdr:cNvGrpSpPr>
        </xdr:nvGrpSpPr>
        <xdr:grpSpPr>
          <a:xfrm>
            <a:off x="474" y="140"/>
            <a:ext cx="227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24" name="Line 38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5" name="Line 39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6" name="Group 40"/>
          <xdr:cNvGrpSpPr>
            <a:grpSpLocks/>
          </xdr:cNvGrpSpPr>
        </xdr:nvGrpSpPr>
        <xdr:grpSpPr>
          <a:xfrm>
            <a:off x="675" y="135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27" name="Line 41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8" name="Line 42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9" name="Line 43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0" name="Line 44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1" name="Group 50"/>
          <xdr:cNvGrpSpPr>
            <a:grpSpLocks/>
          </xdr:cNvGrpSpPr>
        </xdr:nvGrpSpPr>
        <xdr:grpSpPr>
          <a:xfrm>
            <a:off x="513" y="135"/>
            <a:ext cx="6" cy="288"/>
            <a:chOff x="486" y="576"/>
            <a:chExt cx="6" cy="312"/>
          </a:xfrm>
          <a:solidFill>
            <a:srgbClr val="FFFFFF"/>
          </a:solidFill>
        </xdr:grpSpPr>
        <xdr:sp>
          <xdr:nvSpPr>
            <xdr:cNvPr id="32" name="Line 51"/>
            <xdr:cNvSpPr>
              <a:spLocks/>
            </xdr:cNvSpPr>
          </xdr:nvSpPr>
          <xdr:spPr>
            <a:xfrm>
              <a:off x="492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3" name="Line 52"/>
            <xdr:cNvSpPr>
              <a:spLocks/>
            </xdr:cNvSpPr>
          </xdr:nvSpPr>
          <xdr:spPr>
            <a:xfrm>
              <a:off x="486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4" name="Line 53"/>
            <xdr:cNvSpPr>
              <a:spLocks/>
            </xdr:cNvSpPr>
          </xdr:nvSpPr>
          <xdr:spPr>
            <a:xfrm flipV="1">
              <a:off x="486" y="576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5" name="Line 54"/>
            <xdr:cNvSpPr>
              <a:spLocks/>
            </xdr:cNvSpPr>
          </xdr:nvSpPr>
          <xdr:spPr>
            <a:xfrm flipV="1">
              <a:off x="486" y="888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6" name="Group 55"/>
          <xdr:cNvGrpSpPr>
            <a:grpSpLocks/>
          </xdr:cNvGrpSpPr>
        </xdr:nvGrpSpPr>
        <xdr:grpSpPr>
          <a:xfrm>
            <a:off x="474" y="228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37" name="Line 56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8" name="Line 57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39" name="Line 59"/>
          <xdr:cNvSpPr>
            <a:spLocks/>
          </xdr:cNvSpPr>
        </xdr:nvSpPr>
        <xdr:spPr>
          <a:xfrm>
            <a:off x="440" y="192"/>
            <a:ext cx="8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0" name="Line 60"/>
          <xdr:cNvSpPr>
            <a:spLocks/>
          </xdr:cNvSpPr>
        </xdr:nvSpPr>
        <xdr:spPr>
          <a:xfrm>
            <a:off x="559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61"/>
          <xdr:cNvSpPr>
            <a:spLocks/>
          </xdr:cNvSpPr>
        </xdr:nvSpPr>
        <xdr:spPr>
          <a:xfrm>
            <a:off x="640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Line 62"/>
          <xdr:cNvSpPr>
            <a:spLocks/>
          </xdr:cNvSpPr>
        </xdr:nvSpPr>
        <xdr:spPr>
          <a:xfrm>
            <a:off x="559" y="480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Line 63"/>
          <xdr:cNvSpPr>
            <a:spLocks/>
          </xdr:cNvSpPr>
        </xdr:nvSpPr>
        <xdr:spPr>
          <a:xfrm>
            <a:off x="138" y="143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64"/>
          <xdr:cNvSpPr>
            <a:spLocks/>
          </xdr:cNvSpPr>
        </xdr:nvSpPr>
        <xdr:spPr>
          <a:xfrm>
            <a:off x="179" y="143"/>
            <a:ext cx="43" cy="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65"/>
          <xdr:cNvSpPr>
            <a:spLocks/>
          </xdr:cNvSpPr>
        </xdr:nvSpPr>
        <xdr:spPr>
          <a:xfrm>
            <a:off x="151" y="16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66"/>
          <xdr:cNvSpPr>
            <a:spLocks/>
          </xdr:cNvSpPr>
        </xdr:nvSpPr>
        <xdr:spPr>
          <a:xfrm>
            <a:off x="163" y="19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7" name="Line 67"/>
          <xdr:cNvSpPr>
            <a:spLocks/>
          </xdr:cNvSpPr>
        </xdr:nvSpPr>
        <xdr:spPr>
          <a:xfrm>
            <a:off x="175" y="21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68"/>
          <xdr:cNvSpPr>
            <a:spLocks/>
          </xdr:cNvSpPr>
        </xdr:nvSpPr>
        <xdr:spPr>
          <a:xfrm>
            <a:off x="187" y="240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69"/>
          <xdr:cNvSpPr>
            <a:spLocks/>
          </xdr:cNvSpPr>
        </xdr:nvSpPr>
        <xdr:spPr>
          <a:xfrm>
            <a:off x="199" y="264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70"/>
          <xdr:cNvSpPr>
            <a:spLocks/>
          </xdr:cNvSpPr>
        </xdr:nvSpPr>
        <xdr:spPr>
          <a:xfrm>
            <a:off x="211" y="288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71"/>
          <xdr:cNvSpPr>
            <a:spLocks/>
          </xdr:cNvSpPr>
        </xdr:nvSpPr>
        <xdr:spPr>
          <a:xfrm>
            <a:off x="223" y="312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72"/>
          <xdr:cNvSpPr>
            <a:spLocks/>
          </xdr:cNvSpPr>
        </xdr:nvSpPr>
        <xdr:spPr>
          <a:xfrm>
            <a:off x="144" y="15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73"/>
          <xdr:cNvSpPr>
            <a:spLocks/>
          </xdr:cNvSpPr>
        </xdr:nvSpPr>
        <xdr:spPr>
          <a:xfrm>
            <a:off x="156" y="18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74"/>
          <xdr:cNvSpPr>
            <a:spLocks/>
          </xdr:cNvSpPr>
        </xdr:nvSpPr>
        <xdr:spPr>
          <a:xfrm>
            <a:off x="169" y="20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75"/>
          <xdr:cNvSpPr>
            <a:spLocks/>
          </xdr:cNvSpPr>
        </xdr:nvSpPr>
        <xdr:spPr>
          <a:xfrm>
            <a:off x="181" y="228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76"/>
          <xdr:cNvSpPr>
            <a:spLocks/>
          </xdr:cNvSpPr>
        </xdr:nvSpPr>
        <xdr:spPr>
          <a:xfrm>
            <a:off x="193" y="252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Line 77"/>
          <xdr:cNvSpPr>
            <a:spLocks/>
          </xdr:cNvSpPr>
        </xdr:nvSpPr>
        <xdr:spPr>
          <a:xfrm>
            <a:off x="205" y="276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78"/>
          <xdr:cNvSpPr>
            <a:spLocks/>
          </xdr:cNvSpPr>
        </xdr:nvSpPr>
        <xdr:spPr>
          <a:xfrm>
            <a:off x="218" y="300"/>
            <a:ext cx="6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79"/>
          <xdr:cNvSpPr>
            <a:spLocks/>
          </xdr:cNvSpPr>
        </xdr:nvSpPr>
        <xdr:spPr>
          <a:xfrm>
            <a:off x="230" y="324"/>
            <a:ext cx="6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80"/>
          <xdr:cNvSpPr>
            <a:spLocks/>
          </xdr:cNvSpPr>
        </xdr:nvSpPr>
        <xdr:spPr>
          <a:xfrm flipV="1">
            <a:off x="135" y="306"/>
            <a:ext cx="51" cy="5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81"/>
          <xdr:cNvSpPr>
            <a:spLocks/>
          </xdr:cNvSpPr>
        </xdr:nvSpPr>
        <xdr:spPr>
          <a:xfrm>
            <a:off x="64" y="360"/>
            <a:ext cx="7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84"/>
          <xdr:cNvSpPr>
            <a:spLocks/>
          </xdr:cNvSpPr>
        </xdr:nvSpPr>
        <xdr:spPr>
          <a:xfrm flipH="1">
            <a:off x="217" y="224"/>
            <a:ext cx="161" cy="10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85"/>
          <xdr:cNvSpPr>
            <a:spLocks/>
          </xdr:cNvSpPr>
        </xdr:nvSpPr>
        <xdr:spPr>
          <a:xfrm>
            <a:off x="351" y="288"/>
            <a:ext cx="10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86"/>
          <xdr:cNvSpPr>
            <a:spLocks/>
          </xdr:cNvSpPr>
        </xdr:nvSpPr>
        <xdr:spPr>
          <a:xfrm flipH="1" flipV="1">
            <a:off x="315" y="263"/>
            <a:ext cx="36" cy="2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87"/>
          <xdr:cNvSpPr>
            <a:spLocks/>
          </xdr:cNvSpPr>
        </xdr:nvSpPr>
        <xdr:spPr>
          <a:xfrm flipH="1">
            <a:off x="221" y="293"/>
            <a:ext cx="69" cy="3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88"/>
          <xdr:cNvSpPr>
            <a:spLocks/>
          </xdr:cNvSpPr>
        </xdr:nvSpPr>
        <xdr:spPr>
          <a:xfrm flipH="1">
            <a:off x="129" y="108"/>
            <a:ext cx="67" cy="3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Rectangle 90"/>
          <xdr:cNvSpPr>
            <a:spLocks/>
          </xdr:cNvSpPr>
        </xdr:nvSpPr>
        <xdr:spPr>
          <a:xfrm rot="20017606">
            <a:off x="215" y="212"/>
            <a:ext cx="3" cy="2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91"/>
          <xdr:cNvSpPr>
            <a:spLocks/>
          </xdr:cNvSpPr>
        </xdr:nvSpPr>
        <xdr:spPr>
          <a:xfrm>
            <a:off x="245" y="229"/>
            <a:ext cx="48" cy="9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92"/>
          <xdr:cNvSpPr>
            <a:spLocks/>
          </xdr:cNvSpPr>
        </xdr:nvSpPr>
        <xdr:spPr>
          <a:xfrm>
            <a:off x="197" y="109"/>
            <a:ext cx="45" cy="8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93"/>
          <xdr:cNvSpPr>
            <a:spLocks/>
          </xdr:cNvSpPr>
        </xdr:nvSpPr>
        <xdr:spPr>
          <a:xfrm flipH="1">
            <a:off x="177" y="198"/>
            <a:ext cx="65" cy="3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94"/>
          <xdr:cNvSpPr>
            <a:spLocks/>
          </xdr:cNvSpPr>
        </xdr:nvSpPr>
        <xdr:spPr>
          <a:xfrm>
            <a:off x="242" y="198"/>
            <a:ext cx="48" cy="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AutoShape 99"/>
          <xdr:cNvSpPr>
            <a:spLocks/>
          </xdr:cNvSpPr>
        </xdr:nvSpPr>
        <xdr:spPr>
          <a:xfrm>
            <a:off x="161" y="236"/>
            <a:ext cx="48" cy="94"/>
          </a:xfrm>
          <a:custGeom>
            <a:pathLst>
              <a:path h="94" w="48">
                <a:moveTo>
                  <a:pt x="0" y="0"/>
                </a:moveTo>
                <a:cubicBezTo>
                  <a:pt x="3" y="19"/>
                  <a:pt x="7" y="39"/>
                  <a:pt x="15" y="55"/>
                </a:cubicBezTo>
                <a:cubicBezTo>
                  <a:pt x="23" y="71"/>
                  <a:pt x="35" y="82"/>
                  <a:pt x="48" y="94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AutoShape 100"/>
          <xdr:cNvSpPr>
            <a:spLocks/>
          </xdr:cNvSpPr>
        </xdr:nvSpPr>
        <xdr:spPr>
          <a:xfrm>
            <a:off x="114" y="145"/>
            <a:ext cx="48" cy="94"/>
          </a:xfrm>
          <a:custGeom>
            <a:pathLst>
              <a:path h="94" w="48">
                <a:moveTo>
                  <a:pt x="0" y="0"/>
                </a:moveTo>
                <a:cubicBezTo>
                  <a:pt x="3" y="19"/>
                  <a:pt x="7" y="39"/>
                  <a:pt x="15" y="55"/>
                </a:cubicBezTo>
                <a:cubicBezTo>
                  <a:pt x="23" y="71"/>
                  <a:pt x="35" y="82"/>
                  <a:pt x="48" y="94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101"/>
          <xdr:cNvSpPr>
            <a:spLocks/>
          </xdr:cNvSpPr>
        </xdr:nvSpPr>
        <xdr:spPr>
          <a:xfrm flipH="1">
            <a:off x="54" y="408"/>
            <a:ext cx="1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102"/>
          <xdr:cNvSpPr>
            <a:spLocks/>
          </xdr:cNvSpPr>
        </xdr:nvSpPr>
        <xdr:spPr>
          <a:xfrm flipH="1">
            <a:off x="81" y="328"/>
            <a:ext cx="12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103"/>
          <xdr:cNvSpPr>
            <a:spLocks/>
          </xdr:cNvSpPr>
        </xdr:nvSpPr>
        <xdr:spPr>
          <a:xfrm flipV="1">
            <a:off x="81" y="224"/>
            <a:ext cx="0" cy="10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104"/>
          <xdr:cNvSpPr>
            <a:spLocks/>
          </xdr:cNvSpPr>
        </xdr:nvSpPr>
        <xdr:spPr>
          <a:xfrm flipV="1">
            <a:off x="54" y="224"/>
            <a:ext cx="0" cy="18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105"/>
          <xdr:cNvSpPr>
            <a:spLocks/>
          </xdr:cNvSpPr>
        </xdr:nvSpPr>
        <xdr:spPr>
          <a:xfrm>
            <a:off x="122" y="167"/>
            <a:ext cx="0" cy="97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106"/>
          <xdr:cNvSpPr>
            <a:spLocks/>
          </xdr:cNvSpPr>
        </xdr:nvSpPr>
        <xdr:spPr>
          <a:xfrm>
            <a:off x="167" y="237"/>
            <a:ext cx="0" cy="123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Line 107"/>
          <xdr:cNvSpPr>
            <a:spLocks/>
          </xdr:cNvSpPr>
        </xdr:nvSpPr>
        <xdr:spPr>
          <a:xfrm flipV="1">
            <a:off x="122" y="264"/>
            <a:ext cx="4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108"/>
          <xdr:cNvSpPr>
            <a:spLocks/>
          </xdr:cNvSpPr>
        </xdr:nvSpPr>
        <xdr:spPr>
          <a:xfrm>
            <a:off x="216" y="332"/>
            <a:ext cx="0" cy="2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Line 109"/>
          <xdr:cNvSpPr>
            <a:spLocks/>
          </xdr:cNvSpPr>
        </xdr:nvSpPr>
        <xdr:spPr>
          <a:xfrm flipV="1">
            <a:off x="167" y="360"/>
            <a:ext cx="4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Rectangle 30"/>
          <xdr:cNvSpPr>
            <a:spLocks/>
          </xdr:cNvSpPr>
        </xdr:nvSpPr>
        <xdr:spPr>
          <a:xfrm>
            <a:off x="558" y="143"/>
            <a:ext cx="81" cy="90"/>
          </a:xfrm>
          <a:prstGeom prst="rect">
            <a:avLst/>
          </a:prstGeom>
          <a:pattFill prst="dotDmnd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sp>
        <xdr:nvSpPr>
          <xdr:cNvPr id="84" name="Rectangle 95"/>
          <xdr:cNvSpPr>
            <a:spLocks/>
          </xdr:cNvSpPr>
        </xdr:nvSpPr>
        <xdr:spPr>
          <a:xfrm>
            <a:off x="558" y="223"/>
            <a:ext cx="81" cy="102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grpSp>
        <xdr:nvGrpSpPr>
          <xdr:cNvPr id="85" name="Group 45"/>
          <xdr:cNvGrpSpPr>
            <a:grpSpLocks/>
          </xdr:cNvGrpSpPr>
        </xdr:nvGrpSpPr>
        <xdr:grpSpPr>
          <a:xfrm>
            <a:off x="594" y="135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86" name="Line 46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87" name="Line 47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88" name="Line 48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89" name="Line 49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90" name="Line 58"/>
          <xdr:cNvSpPr>
            <a:spLocks/>
          </xdr:cNvSpPr>
        </xdr:nvSpPr>
        <xdr:spPr>
          <a:xfrm>
            <a:off x="525" y="192"/>
            <a:ext cx="4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1" name="Line 110"/>
          <xdr:cNvSpPr>
            <a:spLocks/>
          </xdr:cNvSpPr>
        </xdr:nvSpPr>
        <xdr:spPr>
          <a:xfrm>
            <a:off x="526" y="193"/>
            <a:ext cx="55" cy="6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1</xdr:row>
      <xdr:rowOff>0</xdr:rowOff>
    </xdr:from>
    <xdr:to>
      <xdr:col>26</xdr:col>
      <xdr:colOff>200025</xdr:colOff>
      <xdr:row>12</xdr:row>
      <xdr:rowOff>0</xdr:rowOff>
    </xdr:to>
    <xdr:grpSp>
      <xdr:nvGrpSpPr>
        <xdr:cNvPr id="1" name="Group 231"/>
        <xdr:cNvGrpSpPr>
          <a:grpSpLocks/>
        </xdr:cNvGrpSpPr>
      </xdr:nvGrpSpPr>
      <xdr:grpSpPr>
        <a:xfrm>
          <a:off x="5210175" y="228600"/>
          <a:ext cx="3409950" cy="2514600"/>
          <a:chOff x="434" y="24"/>
          <a:chExt cx="285" cy="264"/>
        </a:xfrm>
        <a:solidFill>
          <a:srgbClr val="FFFFFF"/>
        </a:solidFill>
      </xdr:grpSpPr>
      <xdr:sp>
        <xdr:nvSpPr>
          <xdr:cNvPr id="2" name="Line 60"/>
          <xdr:cNvSpPr>
            <a:spLocks/>
          </xdr:cNvSpPr>
        </xdr:nvSpPr>
        <xdr:spPr>
          <a:xfrm>
            <a:off x="567" y="240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61"/>
          <xdr:cNvSpPr>
            <a:spLocks/>
          </xdr:cNvSpPr>
        </xdr:nvSpPr>
        <xdr:spPr>
          <a:xfrm flipH="1">
            <a:off x="675" y="240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62"/>
          <xdr:cNvSpPr>
            <a:spLocks/>
          </xdr:cNvSpPr>
        </xdr:nvSpPr>
        <xdr:spPr>
          <a:xfrm>
            <a:off x="567" y="288"/>
            <a:ext cx="10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113"/>
          <xdr:cNvSpPr>
            <a:spLocks/>
          </xdr:cNvSpPr>
        </xdr:nvSpPr>
        <xdr:spPr>
          <a:xfrm>
            <a:off x="486" y="72"/>
            <a:ext cx="81" cy="1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Line 115"/>
          <xdr:cNvSpPr>
            <a:spLocks/>
          </xdr:cNvSpPr>
        </xdr:nvSpPr>
        <xdr:spPr>
          <a:xfrm>
            <a:off x="567" y="240"/>
            <a:ext cx="10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Line 117"/>
          <xdr:cNvSpPr>
            <a:spLocks/>
          </xdr:cNvSpPr>
        </xdr:nvSpPr>
        <xdr:spPr>
          <a:xfrm>
            <a:off x="530" y="24"/>
            <a:ext cx="189" cy="16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119"/>
          <xdr:cNvSpPr>
            <a:spLocks/>
          </xdr:cNvSpPr>
        </xdr:nvSpPr>
        <xdr:spPr>
          <a:xfrm rot="16200000">
            <a:off x="486" y="24"/>
            <a:ext cx="44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Line 120"/>
          <xdr:cNvSpPr>
            <a:spLocks/>
          </xdr:cNvSpPr>
        </xdr:nvSpPr>
        <xdr:spPr>
          <a:xfrm rot="16200000">
            <a:off x="675" y="192"/>
            <a:ext cx="44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434" y="72"/>
            <a:ext cx="5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22"/>
          <xdr:cNvSpPr>
            <a:spLocks/>
          </xdr:cNvSpPr>
        </xdr:nvSpPr>
        <xdr:spPr>
          <a:xfrm>
            <a:off x="486" y="72"/>
            <a:ext cx="81" cy="7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3"/>
          <xdr:cNvSpPr>
            <a:spLocks/>
          </xdr:cNvSpPr>
        </xdr:nvSpPr>
        <xdr:spPr>
          <a:xfrm flipH="1" flipV="1">
            <a:off x="594" y="168"/>
            <a:ext cx="81" cy="7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</xdr:row>
      <xdr:rowOff>190500</xdr:rowOff>
    </xdr:from>
    <xdr:to>
      <xdr:col>18</xdr:col>
      <xdr:colOff>0</xdr:colOff>
      <xdr:row>19</xdr:row>
      <xdr:rowOff>0</xdr:rowOff>
    </xdr:to>
    <xdr:grpSp>
      <xdr:nvGrpSpPr>
        <xdr:cNvPr id="13" name="Group 340"/>
        <xdr:cNvGrpSpPr>
          <a:grpSpLocks/>
        </xdr:cNvGrpSpPr>
      </xdr:nvGrpSpPr>
      <xdr:grpSpPr>
        <a:xfrm>
          <a:off x="647700" y="876300"/>
          <a:ext cx="5181600" cy="3467100"/>
          <a:chOff x="54" y="92"/>
          <a:chExt cx="432" cy="364"/>
        </a:xfrm>
        <a:solidFill>
          <a:srgbClr val="FFFFFF"/>
        </a:solidFill>
      </xdr:grpSpPr>
      <xdr:sp>
        <xdr:nvSpPr>
          <xdr:cNvPr id="14" name="Line 63"/>
          <xdr:cNvSpPr>
            <a:spLocks/>
          </xdr:cNvSpPr>
        </xdr:nvSpPr>
        <xdr:spPr>
          <a:xfrm rot="10800000">
            <a:off x="186" y="30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64"/>
          <xdr:cNvSpPr>
            <a:spLocks/>
          </xdr:cNvSpPr>
        </xdr:nvSpPr>
        <xdr:spPr>
          <a:xfrm rot="10800000">
            <a:off x="94" y="118"/>
            <a:ext cx="134" cy="26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65"/>
          <xdr:cNvSpPr>
            <a:spLocks/>
          </xdr:cNvSpPr>
        </xdr:nvSpPr>
        <xdr:spPr>
          <a:xfrm rot="10800000">
            <a:off x="174" y="27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66"/>
          <xdr:cNvSpPr>
            <a:spLocks/>
          </xdr:cNvSpPr>
        </xdr:nvSpPr>
        <xdr:spPr>
          <a:xfrm rot="10800000">
            <a:off x="162" y="25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67"/>
          <xdr:cNvSpPr>
            <a:spLocks/>
          </xdr:cNvSpPr>
        </xdr:nvSpPr>
        <xdr:spPr>
          <a:xfrm rot="10800000">
            <a:off x="150" y="22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68"/>
          <xdr:cNvSpPr>
            <a:spLocks/>
          </xdr:cNvSpPr>
        </xdr:nvSpPr>
        <xdr:spPr>
          <a:xfrm rot="10800000">
            <a:off x="138" y="20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69"/>
          <xdr:cNvSpPr>
            <a:spLocks/>
          </xdr:cNvSpPr>
        </xdr:nvSpPr>
        <xdr:spPr>
          <a:xfrm rot="10800000">
            <a:off x="126" y="18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70"/>
          <xdr:cNvSpPr>
            <a:spLocks/>
          </xdr:cNvSpPr>
        </xdr:nvSpPr>
        <xdr:spPr>
          <a:xfrm rot="10800000">
            <a:off x="114" y="15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71"/>
          <xdr:cNvSpPr>
            <a:spLocks/>
          </xdr:cNvSpPr>
        </xdr:nvSpPr>
        <xdr:spPr>
          <a:xfrm rot="10800000">
            <a:off x="101" y="13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72"/>
          <xdr:cNvSpPr>
            <a:spLocks/>
          </xdr:cNvSpPr>
        </xdr:nvSpPr>
        <xdr:spPr>
          <a:xfrm rot="10800000">
            <a:off x="180" y="28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73"/>
          <xdr:cNvSpPr>
            <a:spLocks/>
          </xdr:cNvSpPr>
        </xdr:nvSpPr>
        <xdr:spPr>
          <a:xfrm rot="10800000">
            <a:off x="168" y="26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74"/>
          <xdr:cNvSpPr>
            <a:spLocks/>
          </xdr:cNvSpPr>
        </xdr:nvSpPr>
        <xdr:spPr>
          <a:xfrm rot="10800000">
            <a:off x="156" y="24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Line 75"/>
          <xdr:cNvSpPr>
            <a:spLocks/>
          </xdr:cNvSpPr>
        </xdr:nvSpPr>
        <xdr:spPr>
          <a:xfrm rot="10800000">
            <a:off x="144" y="21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76"/>
          <xdr:cNvSpPr>
            <a:spLocks/>
          </xdr:cNvSpPr>
        </xdr:nvSpPr>
        <xdr:spPr>
          <a:xfrm rot="10800000">
            <a:off x="131" y="19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77"/>
          <xdr:cNvSpPr>
            <a:spLocks/>
          </xdr:cNvSpPr>
        </xdr:nvSpPr>
        <xdr:spPr>
          <a:xfrm rot="10800000">
            <a:off x="119" y="16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78"/>
          <xdr:cNvSpPr>
            <a:spLocks/>
          </xdr:cNvSpPr>
        </xdr:nvSpPr>
        <xdr:spPr>
          <a:xfrm rot="10800000">
            <a:off x="108" y="14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79"/>
          <xdr:cNvSpPr>
            <a:spLocks/>
          </xdr:cNvSpPr>
        </xdr:nvSpPr>
        <xdr:spPr>
          <a:xfrm rot="10800000">
            <a:off x="94" y="11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Rectangle 2"/>
          <xdr:cNvSpPr>
            <a:spLocks/>
          </xdr:cNvSpPr>
        </xdr:nvSpPr>
        <xdr:spPr>
          <a:xfrm rot="20017606">
            <a:off x="211" y="96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3"/>
          <xdr:cNvSpPr>
            <a:spLocks/>
          </xdr:cNvSpPr>
        </xdr:nvSpPr>
        <xdr:spPr>
          <a:xfrm>
            <a:off x="260" y="383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4"/>
          <xdr:cNvSpPr>
            <a:spLocks/>
          </xdr:cNvSpPr>
        </xdr:nvSpPr>
        <xdr:spPr>
          <a:xfrm flipV="1">
            <a:off x="260" y="38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5"/>
          <xdr:cNvSpPr>
            <a:spLocks/>
          </xdr:cNvSpPr>
        </xdr:nvSpPr>
        <xdr:spPr>
          <a:xfrm>
            <a:off x="260" y="383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Oval 6"/>
          <xdr:cNvSpPr>
            <a:spLocks/>
          </xdr:cNvSpPr>
        </xdr:nvSpPr>
        <xdr:spPr>
          <a:xfrm flipH="1">
            <a:off x="279" y="376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Oval 7"/>
          <xdr:cNvSpPr>
            <a:spLocks/>
          </xdr:cNvSpPr>
        </xdr:nvSpPr>
        <xdr:spPr>
          <a:xfrm>
            <a:off x="241" y="30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Oval 8"/>
          <xdr:cNvSpPr>
            <a:spLocks/>
          </xdr:cNvSpPr>
        </xdr:nvSpPr>
        <xdr:spPr>
          <a:xfrm>
            <a:off x="150" y="116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Oval 9"/>
          <xdr:cNvSpPr>
            <a:spLocks/>
          </xdr:cNvSpPr>
        </xdr:nvSpPr>
        <xdr:spPr>
          <a:xfrm>
            <a:off x="193" y="20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9" name="Line 10"/>
          <xdr:cNvSpPr>
            <a:spLocks/>
          </xdr:cNvSpPr>
        </xdr:nvSpPr>
        <xdr:spPr>
          <a:xfrm flipH="1" flipV="1">
            <a:off x="195" y="207"/>
            <a:ext cx="0" cy="249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0" name="Line 11"/>
          <xdr:cNvSpPr>
            <a:spLocks/>
          </xdr:cNvSpPr>
        </xdr:nvSpPr>
        <xdr:spPr>
          <a:xfrm flipH="1" flipV="1">
            <a:off x="282" y="404"/>
            <a:ext cx="0" cy="5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12"/>
          <xdr:cNvSpPr>
            <a:spLocks/>
          </xdr:cNvSpPr>
        </xdr:nvSpPr>
        <xdr:spPr>
          <a:xfrm flipH="1" flipV="1">
            <a:off x="195" y="456"/>
            <a:ext cx="8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Line 24"/>
          <xdr:cNvSpPr>
            <a:spLocks/>
          </xdr:cNvSpPr>
        </xdr:nvSpPr>
        <xdr:spPr>
          <a:xfrm flipH="1">
            <a:off x="351" y="264"/>
            <a:ext cx="54" cy="7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Oval 26"/>
          <xdr:cNvSpPr>
            <a:spLocks/>
          </xdr:cNvSpPr>
        </xdr:nvSpPr>
        <xdr:spPr>
          <a:xfrm flipH="1">
            <a:off x="402" y="389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Rectangle 27"/>
          <xdr:cNvSpPr>
            <a:spLocks/>
          </xdr:cNvSpPr>
        </xdr:nvSpPr>
        <xdr:spPr>
          <a:xfrm rot="18666123">
            <a:off x="147" y="292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88"/>
          <xdr:cNvSpPr>
            <a:spLocks/>
          </xdr:cNvSpPr>
        </xdr:nvSpPr>
        <xdr:spPr>
          <a:xfrm flipH="1">
            <a:off x="199" y="148"/>
            <a:ext cx="44" cy="5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89"/>
          <xdr:cNvSpPr>
            <a:spLocks/>
          </xdr:cNvSpPr>
        </xdr:nvSpPr>
        <xdr:spPr>
          <a:xfrm rot="16200000" flipH="1">
            <a:off x="243" y="149"/>
            <a:ext cx="81" cy="69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7" name="Line 101"/>
          <xdr:cNvSpPr>
            <a:spLocks/>
          </xdr:cNvSpPr>
        </xdr:nvSpPr>
        <xdr:spPr>
          <a:xfrm flipH="1" flipV="1">
            <a:off x="405" y="404"/>
            <a:ext cx="0" cy="5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102"/>
          <xdr:cNvSpPr>
            <a:spLocks/>
          </xdr:cNvSpPr>
        </xdr:nvSpPr>
        <xdr:spPr>
          <a:xfrm flipH="1" flipV="1">
            <a:off x="282" y="456"/>
            <a:ext cx="12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103"/>
          <xdr:cNvSpPr>
            <a:spLocks/>
          </xdr:cNvSpPr>
        </xdr:nvSpPr>
        <xdr:spPr>
          <a:xfrm flipH="1">
            <a:off x="412" y="329"/>
            <a:ext cx="44" cy="5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104"/>
          <xdr:cNvSpPr>
            <a:spLocks/>
          </xdr:cNvSpPr>
        </xdr:nvSpPr>
        <xdr:spPr>
          <a:xfrm>
            <a:off x="405" y="264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105"/>
          <xdr:cNvSpPr>
            <a:spLocks/>
          </xdr:cNvSpPr>
        </xdr:nvSpPr>
        <xdr:spPr>
          <a:xfrm rot="16200000" flipH="1">
            <a:off x="358" y="249"/>
            <a:ext cx="98" cy="8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106"/>
          <xdr:cNvSpPr>
            <a:spLocks/>
          </xdr:cNvSpPr>
        </xdr:nvSpPr>
        <xdr:spPr>
          <a:xfrm>
            <a:off x="54" y="118"/>
            <a:ext cx="0" cy="26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107"/>
          <xdr:cNvSpPr>
            <a:spLocks/>
          </xdr:cNvSpPr>
        </xdr:nvSpPr>
        <xdr:spPr>
          <a:xfrm flipV="1">
            <a:off x="54" y="118"/>
            <a:ext cx="2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Line 108"/>
          <xdr:cNvSpPr>
            <a:spLocks/>
          </xdr:cNvSpPr>
        </xdr:nvSpPr>
        <xdr:spPr>
          <a:xfrm flipV="1">
            <a:off x="54" y="384"/>
            <a:ext cx="15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109"/>
          <xdr:cNvSpPr>
            <a:spLocks/>
          </xdr:cNvSpPr>
        </xdr:nvSpPr>
        <xdr:spPr>
          <a:xfrm flipV="1">
            <a:off x="81" y="207"/>
            <a:ext cx="12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110"/>
          <xdr:cNvSpPr>
            <a:spLocks/>
          </xdr:cNvSpPr>
        </xdr:nvSpPr>
        <xdr:spPr>
          <a:xfrm flipH="1">
            <a:off x="81" y="207"/>
            <a:ext cx="0" cy="177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Rectangle 124"/>
          <xdr:cNvSpPr>
            <a:spLocks/>
          </xdr:cNvSpPr>
        </xdr:nvSpPr>
        <xdr:spPr>
          <a:xfrm rot="20017606">
            <a:off x="219" y="92"/>
            <a:ext cx="4" cy="3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171"/>
          <xdr:cNvSpPr>
            <a:spLocks/>
          </xdr:cNvSpPr>
        </xdr:nvSpPr>
        <xdr:spPr>
          <a:xfrm rot="10800000">
            <a:off x="228" y="38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172"/>
          <xdr:cNvSpPr>
            <a:spLocks/>
          </xdr:cNvSpPr>
        </xdr:nvSpPr>
        <xdr:spPr>
          <a:xfrm rot="10800000">
            <a:off x="216" y="36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173"/>
          <xdr:cNvSpPr>
            <a:spLocks/>
          </xdr:cNvSpPr>
        </xdr:nvSpPr>
        <xdr:spPr>
          <a:xfrm rot="10800000">
            <a:off x="204" y="33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174"/>
          <xdr:cNvSpPr>
            <a:spLocks/>
          </xdr:cNvSpPr>
        </xdr:nvSpPr>
        <xdr:spPr>
          <a:xfrm rot="10800000">
            <a:off x="192" y="31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175"/>
          <xdr:cNvSpPr>
            <a:spLocks/>
          </xdr:cNvSpPr>
        </xdr:nvSpPr>
        <xdr:spPr>
          <a:xfrm rot="10800000">
            <a:off x="222" y="37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176"/>
          <xdr:cNvSpPr>
            <a:spLocks/>
          </xdr:cNvSpPr>
        </xdr:nvSpPr>
        <xdr:spPr>
          <a:xfrm rot="10800000">
            <a:off x="210" y="34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177"/>
          <xdr:cNvSpPr>
            <a:spLocks/>
          </xdr:cNvSpPr>
        </xdr:nvSpPr>
        <xdr:spPr>
          <a:xfrm rot="10800000">
            <a:off x="198" y="32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50</xdr:row>
      <xdr:rowOff>0</xdr:rowOff>
    </xdr:from>
    <xdr:to>
      <xdr:col>21</xdr:col>
      <xdr:colOff>0</xdr:colOff>
      <xdr:row>65</xdr:row>
      <xdr:rowOff>0</xdr:rowOff>
    </xdr:to>
    <xdr:grpSp>
      <xdr:nvGrpSpPr>
        <xdr:cNvPr id="65" name="Group 341"/>
        <xdr:cNvGrpSpPr>
          <a:grpSpLocks/>
        </xdr:cNvGrpSpPr>
      </xdr:nvGrpSpPr>
      <xdr:grpSpPr>
        <a:xfrm>
          <a:off x="1619250" y="11430000"/>
          <a:ext cx="5181600" cy="3429000"/>
          <a:chOff x="135" y="1200"/>
          <a:chExt cx="432" cy="360"/>
        </a:xfrm>
        <a:solidFill>
          <a:srgbClr val="FFFFFF"/>
        </a:solidFill>
      </xdr:grpSpPr>
      <xdr:sp>
        <xdr:nvSpPr>
          <xdr:cNvPr id="66" name="Line 179"/>
          <xdr:cNvSpPr>
            <a:spLocks/>
          </xdr:cNvSpPr>
        </xdr:nvSpPr>
        <xdr:spPr>
          <a:xfrm rot="10800000">
            <a:off x="243" y="1404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180"/>
          <xdr:cNvSpPr>
            <a:spLocks/>
          </xdr:cNvSpPr>
        </xdr:nvSpPr>
        <xdr:spPr>
          <a:xfrm rot="10800000">
            <a:off x="175" y="1222"/>
            <a:ext cx="37" cy="7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181"/>
          <xdr:cNvSpPr>
            <a:spLocks/>
          </xdr:cNvSpPr>
        </xdr:nvSpPr>
        <xdr:spPr>
          <a:xfrm rot="10800000">
            <a:off x="232" y="1380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182"/>
          <xdr:cNvSpPr>
            <a:spLocks/>
          </xdr:cNvSpPr>
        </xdr:nvSpPr>
        <xdr:spPr>
          <a:xfrm rot="10800000">
            <a:off x="219" y="1356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183"/>
          <xdr:cNvSpPr>
            <a:spLocks/>
          </xdr:cNvSpPr>
        </xdr:nvSpPr>
        <xdr:spPr>
          <a:xfrm rot="10800000">
            <a:off x="207" y="1332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AutoShape 184"/>
          <xdr:cNvSpPr>
            <a:spLocks/>
          </xdr:cNvSpPr>
        </xdr:nvSpPr>
        <xdr:spPr>
          <a:xfrm rot="10800000">
            <a:off x="195" y="1308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185"/>
          <xdr:cNvSpPr>
            <a:spLocks/>
          </xdr:cNvSpPr>
        </xdr:nvSpPr>
        <xdr:spPr>
          <a:xfrm rot="10800000">
            <a:off x="207" y="128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186"/>
          <xdr:cNvSpPr>
            <a:spLocks/>
          </xdr:cNvSpPr>
        </xdr:nvSpPr>
        <xdr:spPr>
          <a:xfrm rot="10800000">
            <a:off x="195" y="126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187"/>
          <xdr:cNvSpPr>
            <a:spLocks/>
          </xdr:cNvSpPr>
        </xdr:nvSpPr>
        <xdr:spPr>
          <a:xfrm rot="10800000">
            <a:off x="182" y="123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188"/>
          <xdr:cNvSpPr>
            <a:spLocks/>
          </xdr:cNvSpPr>
        </xdr:nvSpPr>
        <xdr:spPr>
          <a:xfrm rot="10800000">
            <a:off x="237" y="1392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189"/>
          <xdr:cNvSpPr>
            <a:spLocks/>
          </xdr:cNvSpPr>
        </xdr:nvSpPr>
        <xdr:spPr>
          <a:xfrm rot="10800000">
            <a:off x="226" y="1368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190"/>
          <xdr:cNvSpPr>
            <a:spLocks/>
          </xdr:cNvSpPr>
        </xdr:nvSpPr>
        <xdr:spPr>
          <a:xfrm rot="10800000">
            <a:off x="213" y="1344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191"/>
          <xdr:cNvSpPr>
            <a:spLocks/>
          </xdr:cNvSpPr>
        </xdr:nvSpPr>
        <xdr:spPr>
          <a:xfrm rot="10800000">
            <a:off x="201" y="1320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192"/>
          <xdr:cNvSpPr>
            <a:spLocks/>
          </xdr:cNvSpPr>
        </xdr:nvSpPr>
        <xdr:spPr>
          <a:xfrm rot="10800000">
            <a:off x="189" y="1296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Line 193"/>
          <xdr:cNvSpPr>
            <a:spLocks/>
          </xdr:cNvSpPr>
        </xdr:nvSpPr>
        <xdr:spPr>
          <a:xfrm rot="10800000">
            <a:off x="200" y="127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194"/>
          <xdr:cNvSpPr>
            <a:spLocks/>
          </xdr:cNvSpPr>
        </xdr:nvSpPr>
        <xdr:spPr>
          <a:xfrm rot="10800000">
            <a:off x="189" y="124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Line 195"/>
          <xdr:cNvSpPr>
            <a:spLocks/>
          </xdr:cNvSpPr>
        </xdr:nvSpPr>
        <xdr:spPr>
          <a:xfrm rot="10800000">
            <a:off x="175" y="122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Rectangle 196"/>
          <xdr:cNvSpPr>
            <a:spLocks/>
          </xdr:cNvSpPr>
        </xdr:nvSpPr>
        <xdr:spPr>
          <a:xfrm rot="20017606">
            <a:off x="292" y="1200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4" name="Line 197"/>
          <xdr:cNvSpPr>
            <a:spLocks/>
          </xdr:cNvSpPr>
        </xdr:nvSpPr>
        <xdr:spPr>
          <a:xfrm>
            <a:off x="341" y="148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5" name="Line 198"/>
          <xdr:cNvSpPr>
            <a:spLocks/>
          </xdr:cNvSpPr>
        </xdr:nvSpPr>
        <xdr:spPr>
          <a:xfrm flipV="1">
            <a:off x="341" y="1491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6" name="Line 199"/>
          <xdr:cNvSpPr>
            <a:spLocks/>
          </xdr:cNvSpPr>
        </xdr:nvSpPr>
        <xdr:spPr>
          <a:xfrm>
            <a:off x="341" y="1487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7" name="Oval 200"/>
          <xdr:cNvSpPr>
            <a:spLocks/>
          </xdr:cNvSpPr>
        </xdr:nvSpPr>
        <xdr:spPr>
          <a:xfrm flipH="1">
            <a:off x="360" y="1480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8" name="Oval 201"/>
          <xdr:cNvSpPr>
            <a:spLocks/>
          </xdr:cNvSpPr>
        </xdr:nvSpPr>
        <xdr:spPr>
          <a:xfrm>
            <a:off x="322" y="140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9" name="Oval 202"/>
          <xdr:cNvSpPr>
            <a:spLocks/>
          </xdr:cNvSpPr>
        </xdr:nvSpPr>
        <xdr:spPr>
          <a:xfrm>
            <a:off x="231" y="122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0" name="Oval 203"/>
          <xdr:cNvSpPr>
            <a:spLocks/>
          </xdr:cNvSpPr>
        </xdr:nvSpPr>
        <xdr:spPr>
          <a:xfrm>
            <a:off x="274" y="1308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1" name="Line 204"/>
          <xdr:cNvSpPr>
            <a:spLocks/>
          </xdr:cNvSpPr>
        </xdr:nvSpPr>
        <xdr:spPr>
          <a:xfrm flipH="1" flipV="1">
            <a:off x="276" y="1311"/>
            <a:ext cx="0" cy="249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2" name="Line 205"/>
          <xdr:cNvSpPr>
            <a:spLocks/>
          </xdr:cNvSpPr>
        </xdr:nvSpPr>
        <xdr:spPr>
          <a:xfrm flipH="1" flipV="1">
            <a:off x="363" y="1508"/>
            <a:ext cx="0" cy="5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3" name="Line 206"/>
          <xdr:cNvSpPr>
            <a:spLocks/>
          </xdr:cNvSpPr>
        </xdr:nvSpPr>
        <xdr:spPr>
          <a:xfrm flipH="1" flipV="1">
            <a:off x="276" y="1560"/>
            <a:ext cx="8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4" name="Line 207"/>
          <xdr:cNvSpPr>
            <a:spLocks/>
          </xdr:cNvSpPr>
        </xdr:nvSpPr>
        <xdr:spPr>
          <a:xfrm flipH="1">
            <a:off x="432" y="1368"/>
            <a:ext cx="54" cy="7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Oval 208"/>
          <xdr:cNvSpPr>
            <a:spLocks/>
          </xdr:cNvSpPr>
        </xdr:nvSpPr>
        <xdr:spPr>
          <a:xfrm flipH="1">
            <a:off x="483" y="149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6" name="Rectangle 209"/>
          <xdr:cNvSpPr>
            <a:spLocks/>
          </xdr:cNvSpPr>
        </xdr:nvSpPr>
        <xdr:spPr>
          <a:xfrm rot="18666123">
            <a:off x="228" y="1396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7" name="Line 210"/>
          <xdr:cNvSpPr>
            <a:spLocks/>
          </xdr:cNvSpPr>
        </xdr:nvSpPr>
        <xdr:spPr>
          <a:xfrm flipH="1">
            <a:off x="280" y="1252"/>
            <a:ext cx="44" cy="5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8" name="Line 211"/>
          <xdr:cNvSpPr>
            <a:spLocks/>
          </xdr:cNvSpPr>
        </xdr:nvSpPr>
        <xdr:spPr>
          <a:xfrm rot="16200000" flipH="1">
            <a:off x="324" y="1253"/>
            <a:ext cx="81" cy="69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9" name="Line 212"/>
          <xdr:cNvSpPr>
            <a:spLocks/>
          </xdr:cNvSpPr>
        </xdr:nvSpPr>
        <xdr:spPr>
          <a:xfrm flipH="1" flipV="1">
            <a:off x="486" y="1508"/>
            <a:ext cx="0" cy="5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0" name="Line 213"/>
          <xdr:cNvSpPr>
            <a:spLocks/>
          </xdr:cNvSpPr>
        </xdr:nvSpPr>
        <xdr:spPr>
          <a:xfrm flipH="1" flipV="1">
            <a:off x="363" y="1560"/>
            <a:ext cx="12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1" name="Line 214"/>
          <xdr:cNvSpPr>
            <a:spLocks/>
          </xdr:cNvSpPr>
        </xdr:nvSpPr>
        <xdr:spPr>
          <a:xfrm flipH="1">
            <a:off x="493" y="1433"/>
            <a:ext cx="44" cy="5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2" name="Line 216"/>
          <xdr:cNvSpPr>
            <a:spLocks/>
          </xdr:cNvSpPr>
        </xdr:nvSpPr>
        <xdr:spPr>
          <a:xfrm rot="16200000" flipH="1">
            <a:off x="439" y="1353"/>
            <a:ext cx="98" cy="8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3" name="Line 217"/>
          <xdr:cNvSpPr>
            <a:spLocks/>
          </xdr:cNvSpPr>
        </xdr:nvSpPr>
        <xdr:spPr>
          <a:xfrm>
            <a:off x="135" y="1222"/>
            <a:ext cx="0" cy="7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4" name="Line 218"/>
          <xdr:cNvSpPr>
            <a:spLocks/>
          </xdr:cNvSpPr>
        </xdr:nvSpPr>
        <xdr:spPr>
          <a:xfrm flipV="1">
            <a:off x="135" y="1222"/>
            <a:ext cx="2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5" name="Line 219"/>
          <xdr:cNvSpPr>
            <a:spLocks/>
          </xdr:cNvSpPr>
        </xdr:nvSpPr>
        <xdr:spPr>
          <a:xfrm flipV="1">
            <a:off x="135" y="1488"/>
            <a:ext cx="15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6" name="Line 220"/>
          <xdr:cNvSpPr>
            <a:spLocks/>
          </xdr:cNvSpPr>
        </xdr:nvSpPr>
        <xdr:spPr>
          <a:xfrm flipV="1">
            <a:off x="162" y="1311"/>
            <a:ext cx="12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7" name="Line 221"/>
          <xdr:cNvSpPr>
            <a:spLocks/>
          </xdr:cNvSpPr>
        </xdr:nvSpPr>
        <xdr:spPr>
          <a:xfrm flipH="1">
            <a:off x="162" y="1311"/>
            <a:ext cx="0" cy="177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8" name="Rectangle 222"/>
          <xdr:cNvSpPr>
            <a:spLocks/>
          </xdr:cNvSpPr>
        </xdr:nvSpPr>
        <xdr:spPr>
          <a:xfrm rot="20017606">
            <a:off x="322" y="1284"/>
            <a:ext cx="3" cy="2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9" name="Line 223"/>
          <xdr:cNvSpPr>
            <a:spLocks/>
          </xdr:cNvSpPr>
        </xdr:nvSpPr>
        <xdr:spPr>
          <a:xfrm rot="10800000">
            <a:off x="286" y="1488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0" name="Line 224"/>
          <xdr:cNvSpPr>
            <a:spLocks/>
          </xdr:cNvSpPr>
        </xdr:nvSpPr>
        <xdr:spPr>
          <a:xfrm rot="10800000">
            <a:off x="273" y="1464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1" name="Line 225"/>
          <xdr:cNvSpPr>
            <a:spLocks/>
          </xdr:cNvSpPr>
        </xdr:nvSpPr>
        <xdr:spPr>
          <a:xfrm rot="10800000">
            <a:off x="261" y="1440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2" name="Line 226"/>
          <xdr:cNvSpPr>
            <a:spLocks/>
          </xdr:cNvSpPr>
        </xdr:nvSpPr>
        <xdr:spPr>
          <a:xfrm rot="10800000">
            <a:off x="249" y="1416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3" name="Line 227"/>
          <xdr:cNvSpPr>
            <a:spLocks/>
          </xdr:cNvSpPr>
        </xdr:nvSpPr>
        <xdr:spPr>
          <a:xfrm rot="10800000">
            <a:off x="279" y="1476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4" name="Line 228"/>
          <xdr:cNvSpPr>
            <a:spLocks/>
          </xdr:cNvSpPr>
        </xdr:nvSpPr>
        <xdr:spPr>
          <a:xfrm rot="10800000">
            <a:off x="268" y="1452"/>
            <a:ext cx="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5" name="Line 229"/>
          <xdr:cNvSpPr>
            <a:spLocks/>
          </xdr:cNvSpPr>
        </xdr:nvSpPr>
        <xdr:spPr>
          <a:xfrm rot="10800000">
            <a:off x="255" y="1428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6" name="Line 232"/>
          <xdr:cNvSpPr>
            <a:spLocks/>
          </xdr:cNvSpPr>
        </xdr:nvSpPr>
        <xdr:spPr>
          <a:xfrm flipV="1">
            <a:off x="135" y="1296"/>
            <a:ext cx="5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7" name="Line 233"/>
          <xdr:cNvSpPr>
            <a:spLocks/>
          </xdr:cNvSpPr>
        </xdr:nvSpPr>
        <xdr:spPr>
          <a:xfrm flipH="1">
            <a:off x="135" y="1296"/>
            <a:ext cx="0" cy="19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8" name="Line 234"/>
          <xdr:cNvSpPr>
            <a:spLocks/>
          </xdr:cNvSpPr>
        </xdr:nvSpPr>
        <xdr:spPr>
          <a:xfrm rot="10800000">
            <a:off x="189" y="1296"/>
            <a:ext cx="97" cy="1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9" name="Line 339"/>
          <xdr:cNvSpPr>
            <a:spLocks/>
          </xdr:cNvSpPr>
        </xdr:nvSpPr>
        <xdr:spPr>
          <a:xfrm>
            <a:off x="486" y="1368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219075</xdr:rowOff>
    </xdr:from>
    <xdr:to>
      <xdr:col>10</xdr:col>
      <xdr:colOff>295275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028825" y="1133475"/>
          <a:ext cx="1562100" cy="1028700"/>
        </a:xfrm>
        <a:custGeom>
          <a:pathLst>
            <a:path h="108" w="124">
              <a:moveTo>
                <a:pt x="0" y="74"/>
              </a:moveTo>
              <a:cubicBezTo>
                <a:pt x="0" y="65"/>
                <a:pt x="0" y="29"/>
                <a:pt x="0" y="17"/>
              </a:cubicBezTo>
              <a:cubicBezTo>
                <a:pt x="0" y="5"/>
                <a:pt x="3" y="0"/>
                <a:pt x="16" y="0"/>
              </a:cubicBezTo>
              <a:cubicBezTo>
                <a:pt x="29" y="0"/>
                <a:pt x="102" y="0"/>
                <a:pt x="111" y="1"/>
              </a:cubicBezTo>
              <a:cubicBezTo>
                <a:pt x="120" y="2"/>
                <a:pt x="124" y="8"/>
                <a:pt x="124" y="18"/>
              </a:cubicBezTo>
              <a:cubicBezTo>
                <a:pt x="124" y="28"/>
                <a:pt x="124" y="89"/>
                <a:pt x="124" y="108"/>
              </a:cubicBez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295275</xdr:colOff>
      <xdr:row>8</xdr:row>
      <xdr:rowOff>133350</xdr:rowOff>
    </xdr:from>
    <xdr:to>
      <xdr:col>11</xdr:col>
      <xdr:colOff>276225</xdr:colOff>
      <xdr:row>10</xdr:row>
      <xdr:rowOff>0</xdr:rowOff>
    </xdr:to>
    <xdr:sp>
      <xdr:nvSpPr>
        <xdr:cNvPr id="2" name="Oval 2"/>
        <xdr:cNvSpPr>
          <a:spLocks/>
        </xdr:cNvSpPr>
      </xdr:nvSpPr>
      <xdr:spPr>
        <a:xfrm>
          <a:off x="3590925" y="1962150"/>
          <a:ext cx="323850" cy="323850"/>
        </a:xfrm>
        <a:prstGeom prst="ellipse">
          <a:avLst/>
        </a:prstGeom>
        <a:solidFill>
          <a:srgbClr val="FFFFFF"/>
        </a:solidFill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142875</xdr:colOff>
      <xdr:row>8</xdr:row>
      <xdr:rowOff>66675</xdr:rowOff>
    </xdr:from>
    <xdr:to>
      <xdr:col>6</xdr:col>
      <xdr:colOff>142875</xdr:colOff>
      <xdr:row>10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2066925" y="1895475"/>
          <a:ext cx="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9</xdr:row>
      <xdr:rowOff>180975</xdr:rowOff>
    </xdr:from>
    <xdr:to>
      <xdr:col>10</xdr:col>
      <xdr:colOff>285750</xdr:colOff>
      <xdr:row>10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3581400" y="2238375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285750</xdr:colOff>
      <xdr:row>4</xdr:row>
      <xdr:rowOff>200025</xdr:rowOff>
    </xdr:from>
    <xdr:to>
      <xdr:col>6</xdr:col>
      <xdr:colOff>9525</xdr:colOff>
      <xdr:row>4</xdr:row>
      <xdr:rowOff>200025</xdr:rowOff>
    </xdr:to>
    <xdr:sp>
      <xdr:nvSpPr>
        <xdr:cNvPr id="5" name="Line 5"/>
        <xdr:cNvSpPr>
          <a:spLocks/>
        </xdr:cNvSpPr>
      </xdr:nvSpPr>
      <xdr:spPr>
        <a:xfrm flipH="1">
          <a:off x="1524000" y="111442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0</xdr:rowOff>
    </xdr:from>
    <xdr:to>
      <xdr:col>6</xdr:col>
      <xdr:colOff>19050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533525" y="1828800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200025</xdr:rowOff>
    </xdr:from>
    <xdr:to>
      <xdr:col>5</xdr:col>
      <xdr:colOff>19050</xdr:colOff>
      <xdr:row>8</xdr:row>
      <xdr:rowOff>9525</xdr:rowOff>
    </xdr:to>
    <xdr:sp>
      <xdr:nvSpPr>
        <xdr:cNvPr id="7" name="Line 7"/>
        <xdr:cNvSpPr>
          <a:spLocks/>
        </xdr:cNvSpPr>
      </xdr:nvSpPr>
      <xdr:spPr>
        <a:xfrm>
          <a:off x="1600200" y="1114425"/>
          <a:ext cx="0" cy="723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133350</xdr:colOff>
      <xdr:row>10</xdr:row>
      <xdr:rowOff>219075</xdr:rowOff>
    </xdr:from>
    <xdr:to>
      <xdr:col>10</xdr:col>
      <xdr:colOff>295275</xdr:colOff>
      <xdr:row>10</xdr:row>
      <xdr:rowOff>219075</xdr:rowOff>
    </xdr:to>
    <xdr:sp>
      <xdr:nvSpPr>
        <xdr:cNvPr id="8" name="Line 8"/>
        <xdr:cNvSpPr>
          <a:spLocks/>
        </xdr:cNvSpPr>
      </xdr:nvSpPr>
      <xdr:spPr>
        <a:xfrm flipH="1">
          <a:off x="2057400" y="2505075"/>
          <a:ext cx="15335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295275</xdr:colOff>
      <xdr:row>9</xdr:row>
      <xdr:rowOff>180975</xdr:rowOff>
    </xdr:from>
    <xdr:to>
      <xdr:col>11</xdr:col>
      <xdr:colOff>295275</xdr:colOff>
      <xdr:row>10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3933825" y="2238375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285750</xdr:colOff>
      <xdr:row>10</xdr:row>
      <xdr:rowOff>219075</xdr:rowOff>
    </xdr:from>
    <xdr:to>
      <xdr:col>11</xdr:col>
      <xdr:colOff>295275</xdr:colOff>
      <xdr:row>10</xdr:row>
      <xdr:rowOff>219075</xdr:rowOff>
    </xdr:to>
    <xdr:sp>
      <xdr:nvSpPr>
        <xdr:cNvPr id="10" name="Line 10"/>
        <xdr:cNvSpPr>
          <a:spLocks/>
        </xdr:cNvSpPr>
      </xdr:nvSpPr>
      <xdr:spPr>
        <a:xfrm flipH="1">
          <a:off x="3581400" y="25050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209550</xdr:rowOff>
    </xdr:from>
    <xdr:to>
      <xdr:col>15</xdr:col>
      <xdr:colOff>19050</xdr:colOff>
      <xdr:row>4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638550" y="112395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257175</xdr:colOff>
      <xdr:row>10</xdr:row>
      <xdr:rowOff>19050</xdr:rowOff>
    </xdr:from>
    <xdr:to>
      <xdr:col>15</xdr:col>
      <xdr:colOff>0</xdr:colOff>
      <xdr:row>10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3895725" y="2305050"/>
          <a:ext cx="1114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257175</xdr:colOff>
      <xdr:row>8</xdr:row>
      <xdr:rowOff>123825</xdr:rowOff>
    </xdr:from>
    <xdr:to>
      <xdr:col>13</xdr:col>
      <xdr:colOff>47625</xdr:colOff>
      <xdr:row>8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895725" y="19526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142875</xdr:rowOff>
    </xdr:from>
    <xdr:to>
      <xdr:col>13</xdr:col>
      <xdr:colOff>0</xdr:colOff>
      <xdr:row>10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4324350" y="19716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209550</xdr:rowOff>
    </xdr:from>
    <xdr:to>
      <xdr:col>15</xdr:col>
      <xdr:colOff>0</xdr:colOff>
      <xdr:row>10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5010150" y="1123950"/>
          <a:ext cx="0" cy="11906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123825</xdr:rowOff>
    </xdr:from>
    <xdr:to>
      <xdr:col>10</xdr:col>
      <xdr:colOff>104775</xdr:colOff>
      <xdr:row>6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2867025" y="1266825"/>
          <a:ext cx="53340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238125</xdr:colOff>
      <xdr:row>5</xdr:row>
      <xdr:rowOff>76200</xdr:rowOff>
    </xdr:from>
    <xdr:to>
      <xdr:col>8</xdr:col>
      <xdr:colOff>47625</xdr:colOff>
      <xdr:row>6</xdr:row>
      <xdr:rowOff>133350</xdr:rowOff>
    </xdr:to>
    <xdr:sp>
      <xdr:nvSpPr>
        <xdr:cNvPr id="17" name="Line 17"/>
        <xdr:cNvSpPr>
          <a:spLocks/>
        </xdr:cNvSpPr>
      </xdr:nvSpPr>
      <xdr:spPr>
        <a:xfrm flipH="1" flipV="1">
          <a:off x="2162175" y="1219200"/>
          <a:ext cx="49530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12</xdr:col>
      <xdr:colOff>19050</xdr:colOff>
      <xdr:row>8</xdr:row>
      <xdr:rowOff>133350</xdr:rowOff>
    </xdr:to>
    <xdr:sp>
      <xdr:nvSpPr>
        <xdr:cNvPr id="18" name="Line 18"/>
        <xdr:cNvSpPr>
          <a:spLocks/>
        </xdr:cNvSpPr>
      </xdr:nvSpPr>
      <xdr:spPr>
        <a:xfrm flipH="1">
          <a:off x="3638550" y="1743075"/>
          <a:ext cx="36195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</xdr:row>
      <xdr:rowOff>114300</xdr:rowOff>
    </xdr:from>
    <xdr:to>
      <xdr:col>13</xdr:col>
      <xdr:colOff>161925</xdr:colOff>
      <xdr:row>15</xdr:row>
      <xdr:rowOff>0</xdr:rowOff>
    </xdr:to>
    <xdr:sp>
      <xdr:nvSpPr>
        <xdr:cNvPr id="1" name="Line 141"/>
        <xdr:cNvSpPr>
          <a:spLocks/>
        </xdr:cNvSpPr>
      </xdr:nvSpPr>
      <xdr:spPr>
        <a:xfrm flipV="1">
          <a:off x="3248025" y="2933700"/>
          <a:ext cx="7524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85725</xdr:colOff>
      <xdr:row>12</xdr:row>
      <xdr:rowOff>152400</xdr:rowOff>
    </xdr:from>
    <xdr:to>
      <xdr:col>18</xdr:col>
      <xdr:colOff>0</xdr:colOff>
      <xdr:row>15</xdr:row>
      <xdr:rowOff>0</xdr:rowOff>
    </xdr:to>
    <xdr:sp>
      <xdr:nvSpPr>
        <xdr:cNvPr id="2" name="Line 142"/>
        <xdr:cNvSpPr>
          <a:spLocks/>
        </xdr:cNvSpPr>
      </xdr:nvSpPr>
      <xdr:spPr>
        <a:xfrm flipH="1" flipV="1">
          <a:off x="4810125" y="2971800"/>
          <a:ext cx="50482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238125</xdr:colOff>
      <xdr:row>12</xdr:row>
      <xdr:rowOff>85725</xdr:rowOff>
    </xdr:to>
    <xdr:sp>
      <xdr:nvSpPr>
        <xdr:cNvPr id="3" name="Line 143"/>
        <xdr:cNvSpPr>
          <a:spLocks/>
        </xdr:cNvSpPr>
      </xdr:nvSpPr>
      <xdr:spPr>
        <a:xfrm>
          <a:off x="2657475" y="2590800"/>
          <a:ext cx="23812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219075</xdr:rowOff>
    </xdr:from>
    <xdr:to>
      <xdr:col>22</xdr:col>
      <xdr:colOff>104775</xdr:colOff>
      <xdr:row>10</xdr:row>
      <xdr:rowOff>114300</xdr:rowOff>
    </xdr:to>
    <xdr:sp>
      <xdr:nvSpPr>
        <xdr:cNvPr id="4" name="Line 144"/>
        <xdr:cNvSpPr>
          <a:spLocks/>
        </xdr:cNvSpPr>
      </xdr:nvSpPr>
      <xdr:spPr>
        <a:xfrm>
          <a:off x="6200775" y="2124075"/>
          <a:ext cx="400050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209550</xdr:rowOff>
    </xdr:from>
    <xdr:to>
      <xdr:col>23</xdr:col>
      <xdr:colOff>142875</xdr:colOff>
      <xdr:row>8</xdr:row>
      <xdr:rowOff>219075</xdr:rowOff>
    </xdr:to>
    <xdr:sp>
      <xdr:nvSpPr>
        <xdr:cNvPr id="5" name="Line 145"/>
        <xdr:cNvSpPr>
          <a:spLocks/>
        </xdr:cNvSpPr>
      </xdr:nvSpPr>
      <xdr:spPr>
        <a:xfrm flipV="1">
          <a:off x="6200775" y="2114550"/>
          <a:ext cx="7334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133350</xdr:rowOff>
    </xdr:from>
    <xdr:to>
      <xdr:col>18</xdr:col>
      <xdr:colOff>0</xdr:colOff>
      <xdr:row>56</xdr:row>
      <xdr:rowOff>47625</xdr:rowOff>
    </xdr:to>
    <xdr:grpSp>
      <xdr:nvGrpSpPr>
        <xdr:cNvPr id="6" name="Group 178"/>
        <xdr:cNvGrpSpPr>
          <a:grpSpLocks/>
        </xdr:cNvGrpSpPr>
      </xdr:nvGrpSpPr>
      <xdr:grpSpPr>
        <a:xfrm>
          <a:off x="2066925" y="11410950"/>
          <a:ext cx="3248025" cy="1514475"/>
          <a:chOff x="175" y="638"/>
          <a:chExt cx="275" cy="159"/>
        </a:xfrm>
        <a:solidFill>
          <a:srgbClr val="FFFFFF"/>
        </a:solidFill>
      </xdr:grpSpPr>
      <xdr:sp>
        <xdr:nvSpPr>
          <xdr:cNvPr id="7" name="Line 160"/>
          <xdr:cNvSpPr>
            <a:spLocks/>
          </xdr:cNvSpPr>
        </xdr:nvSpPr>
        <xdr:spPr>
          <a:xfrm>
            <a:off x="175" y="715"/>
            <a:ext cx="27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161"/>
          <xdr:cNvSpPr>
            <a:spLocks/>
          </xdr:cNvSpPr>
        </xdr:nvSpPr>
        <xdr:spPr>
          <a:xfrm>
            <a:off x="175" y="710"/>
            <a:ext cx="27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162"/>
          <xdr:cNvSpPr>
            <a:spLocks/>
          </xdr:cNvSpPr>
        </xdr:nvSpPr>
        <xdr:spPr>
          <a:xfrm>
            <a:off x="220" y="715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Oval 163"/>
          <xdr:cNvSpPr>
            <a:spLocks/>
          </xdr:cNvSpPr>
        </xdr:nvSpPr>
        <xdr:spPr>
          <a:xfrm>
            <a:off x="420" y="715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64"/>
          <xdr:cNvSpPr>
            <a:spLocks/>
          </xdr:cNvSpPr>
        </xdr:nvSpPr>
        <xdr:spPr>
          <a:xfrm>
            <a:off x="225" y="733"/>
            <a:ext cx="0" cy="6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65"/>
          <xdr:cNvSpPr>
            <a:spLocks/>
          </xdr:cNvSpPr>
        </xdr:nvSpPr>
        <xdr:spPr>
          <a:xfrm>
            <a:off x="425" y="733"/>
            <a:ext cx="0" cy="6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166"/>
          <xdr:cNvSpPr>
            <a:spLocks/>
          </xdr:cNvSpPr>
        </xdr:nvSpPr>
        <xdr:spPr>
          <a:xfrm>
            <a:off x="225" y="792"/>
            <a:ext cx="200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Rectangle 167"/>
          <xdr:cNvSpPr>
            <a:spLocks/>
          </xdr:cNvSpPr>
        </xdr:nvSpPr>
        <xdr:spPr>
          <a:xfrm>
            <a:off x="225" y="686"/>
            <a:ext cx="200" cy="2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68"/>
          <xdr:cNvSpPr>
            <a:spLocks/>
          </xdr:cNvSpPr>
        </xdr:nvSpPr>
        <xdr:spPr>
          <a:xfrm>
            <a:off x="325" y="662"/>
            <a:ext cx="0" cy="48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9"/>
          <xdr:cNvSpPr>
            <a:spLocks/>
          </xdr:cNvSpPr>
        </xdr:nvSpPr>
        <xdr:spPr>
          <a:xfrm flipH="1">
            <a:off x="385" y="638"/>
            <a:ext cx="40" cy="48"/>
          </a:xfrm>
          <a:prstGeom prst="arc">
            <a:avLst>
              <a:gd name="adj" fmla="val -50805"/>
            </a:avLst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Oval 170"/>
          <xdr:cNvSpPr>
            <a:spLocks/>
          </xdr:cNvSpPr>
        </xdr:nvSpPr>
        <xdr:spPr>
          <a:xfrm>
            <a:off x="420" y="715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AutoShape 171"/>
          <xdr:cNvSpPr>
            <a:spLocks/>
          </xdr:cNvSpPr>
        </xdr:nvSpPr>
        <xdr:spPr>
          <a:xfrm flipV="1">
            <a:off x="188" y="720"/>
            <a:ext cx="33" cy="29"/>
          </a:xfrm>
          <a:prstGeom prst="curvedConnector3">
            <a:avLst>
              <a:gd name="adj1" fmla="val -1513"/>
              <a:gd name="adj2" fmla="val 1208620"/>
              <a:gd name="adj3" fmla="val -392425"/>
            </a:avLst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AutoShape 172"/>
          <xdr:cNvSpPr>
            <a:spLocks/>
          </xdr:cNvSpPr>
        </xdr:nvSpPr>
        <xdr:spPr>
          <a:xfrm>
            <a:off x="277" y="716"/>
            <a:ext cx="22" cy="18"/>
          </a:xfrm>
          <a:custGeom>
            <a:pathLst>
              <a:path h="18" w="22">
                <a:moveTo>
                  <a:pt x="0" y="0"/>
                </a:moveTo>
                <a:cubicBezTo>
                  <a:pt x="1" y="6"/>
                  <a:pt x="3" y="12"/>
                  <a:pt x="5" y="15"/>
                </a:cubicBezTo>
                <a:cubicBezTo>
                  <a:pt x="7" y="18"/>
                  <a:pt x="11" y="17"/>
                  <a:pt x="14" y="17"/>
                </a:cubicBezTo>
                <a:cubicBezTo>
                  <a:pt x="17" y="17"/>
                  <a:pt x="19" y="17"/>
                  <a:pt x="22" y="17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32</xdr:row>
      <xdr:rowOff>0</xdr:rowOff>
    </xdr:from>
    <xdr:to>
      <xdr:col>37</xdr:col>
      <xdr:colOff>0</xdr:colOff>
      <xdr:row>34</xdr:row>
      <xdr:rowOff>0</xdr:rowOff>
    </xdr:to>
    <xdr:sp>
      <xdr:nvSpPr>
        <xdr:cNvPr id="20" name="Line 185"/>
        <xdr:cNvSpPr>
          <a:spLocks/>
        </xdr:cNvSpPr>
      </xdr:nvSpPr>
      <xdr:spPr>
        <a:xfrm flipH="1">
          <a:off x="13154025" y="7391400"/>
          <a:ext cx="819150" cy="4572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209550</xdr:colOff>
      <xdr:row>5</xdr:row>
      <xdr:rowOff>47625</xdr:rowOff>
    </xdr:from>
    <xdr:to>
      <xdr:col>25</xdr:col>
      <xdr:colOff>238125</xdr:colOff>
      <xdr:row>12</xdr:row>
      <xdr:rowOff>161925</xdr:rowOff>
    </xdr:to>
    <xdr:grpSp>
      <xdr:nvGrpSpPr>
        <xdr:cNvPr id="21" name="Group 484"/>
        <xdr:cNvGrpSpPr>
          <a:grpSpLocks/>
        </xdr:cNvGrpSpPr>
      </xdr:nvGrpSpPr>
      <xdr:grpSpPr>
        <a:xfrm>
          <a:off x="800100" y="1266825"/>
          <a:ext cx="6819900" cy="1714500"/>
          <a:chOff x="63" y="193"/>
          <a:chExt cx="577" cy="180"/>
        </a:xfrm>
        <a:solidFill>
          <a:srgbClr val="FFFFFF"/>
        </a:solidFill>
      </xdr:grpSpPr>
      <xdr:sp>
        <xdr:nvSpPr>
          <xdr:cNvPr id="22" name="Oval 485"/>
          <xdr:cNvSpPr>
            <a:spLocks/>
          </xdr:cNvSpPr>
        </xdr:nvSpPr>
        <xdr:spPr>
          <a:xfrm>
            <a:off x="63" y="194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Oval 486"/>
          <xdr:cNvSpPr>
            <a:spLocks/>
          </xdr:cNvSpPr>
        </xdr:nvSpPr>
        <xdr:spPr>
          <a:xfrm>
            <a:off x="86" y="249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Oval 487"/>
          <xdr:cNvSpPr>
            <a:spLocks/>
          </xdr:cNvSpPr>
        </xdr:nvSpPr>
        <xdr:spPr>
          <a:xfrm>
            <a:off x="110" y="30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Oval 488"/>
          <xdr:cNvSpPr>
            <a:spLocks/>
          </xdr:cNvSpPr>
        </xdr:nvSpPr>
        <xdr:spPr>
          <a:xfrm>
            <a:off x="134" y="360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Oval 489"/>
          <xdr:cNvSpPr>
            <a:spLocks/>
          </xdr:cNvSpPr>
        </xdr:nvSpPr>
        <xdr:spPr>
          <a:xfrm>
            <a:off x="180" y="368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Oval 490"/>
          <xdr:cNvSpPr>
            <a:spLocks/>
          </xdr:cNvSpPr>
        </xdr:nvSpPr>
        <xdr:spPr>
          <a:xfrm>
            <a:off x="302" y="367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Oval 491"/>
          <xdr:cNvSpPr>
            <a:spLocks/>
          </xdr:cNvSpPr>
        </xdr:nvSpPr>
        <xdr:spPr>
          <a:xfrm>
            <a:off x="397" y="367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Oval 492"/>
          <xdr:cNvSpPr>
            <a:spLocks/>
          </xdr:cNvSpPr>
        </xdr:nvSpPr>
        <xdr:spPr>
          <a:xfrm>
            <a:off x="518" y="368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Oval 493"/>
          <xdr:cNvSpPr>
            <a:spLocks/>
          </xdr:cNvSpPr>
        </xdr:nvSpPr>
        <xdr:spPr>
          <a:xfrm>
            <a:off x="564" y="360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Oval 494"/>
          <xdr:cNvSpPr>
            <a:spLocks/>
          </xdr:cNvSpPr>
        </xdr:nvSpPr>
        <xdr:spPr>
          <a:xfrm>
            <a:off x="588" y="30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Oval 495"/>
          <xdr:cNvSpPr>
            <a:spLocks/>
          </xdr:cNvSpPr>
        </xdr:nvSpPr>
        <xdr:spPr>
          <a:xfrm>
            <a:off x="612" y="249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Oval 496"/>
          <xdr:cNvSpPr>
            <a:spLocks/>
          </xdr:cNvSpPr>
        </xdr:nvSpPr>
        <xdr:spPr>
          <a:xfrm>
            <a:off x="635" y="19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285750</xdr:colOff>
      <xdr:row>6</xdr:row>
      <xdr:rowOff>171450</xdr:rowOff>
    </xdr:from>
    <xdr:to>
      <xdr:col>22</xdr:col>
      <xdr:colOff>200025</xdr:colOff>
      <xdr:row>6</xdr:row>
      <xdr:rowOff>171450</xdr:rowOff>
    </xdr:to>
    <xdr:sp>
      <xdr:nvSpPr>
        <xdr:cNvPr id="34" name="Line 500"/>
        <xdr:cNvSpPr>
          <a:spLocks/>
        </xdr:cNvSpPr>
      </xdr:nvSpPr>
      <xdr:spPr>
        <a:xfrm flipH="1">
          <a:off x="6486525" y="16192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209550</xdr:colOff>
      <xdr:row>6</xdr:row>
      <xdr:rowOff>171450</xdr:rowOff>
    </xdr:from>
    <xdr:to>
      <xdr:col>22</xdr:col>
      <xdr:colOff>209550</xdr:colOff>
      <xdr:row>7</xdr:row>
      <xdr:rowOff>133350</xdr:rowOff>
    </xdr:to>
    <xdr:sp>
      <xdr:nvSpPr>
        <xdr:cNvPr id="35" name="Line 501"/>
        <xdr:cNvSpPr>
          <a:spLocks/>
        </xdr:cNvSpPr>
      </xdr:nvSpPr>
      <xdr:spPr>
        <a:xfrm flipH="1">
          <a:off x="6705600" y="1619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285750</xdr:colOff>
      <xdr:row>6</xdr:row>
      <xdr:rowOff>171450</xdr:rowOff>
    </xdr:from>
    <xdr:to>
      <xdr:col>21</xdr:col>
      <xdr:colOff>285750</xdr:colOff>
      <xdr:row>7</xdr:row>
      <xdr:rowOff>28575</xdr:rowOff>
    </xdr:to>
    <xdr:sp>
      <xdr:nvSpPr>
        <xdr:cNvPr id="36" name="Line 502"/>
        <xdr:cNvSpPr>
          <a:spLocks/>
        </xdr:cNvSpPr>
      </xdr:nvSpPr>
      <xdr:spPr>
        <a:xfrm flipH="1">
          <a:off x="6486525" y="16192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238125</xdr:colOff>
      <xdr:row>7</xdr:row>
      <xdr:rowOff>133350</xdr:rowOff>
    </xdr:from>
    <xdr:to>
      <xdr:col>22</xdr:col>
      <xdr:colOff>209550</xdr:colOff>
      <xdr:row>7</xdr:row>
      <xdr:rowOff>190500</xdr:rowOff>
    </xdr:to>
    <xdr:sp>
      <xdr:nvSpPr>
        <xdr:cNvPr id="37" name="Line 503"/>
        <xdr:cNvSpPr>
          <a:spLocks/>
        </xdr:cNvSpPr>
      </xdr:nvSpPr>
      <xdr:spPr>
        <a:xfrm flipH="1">
          <a:off x="6438900" y="1809750"/>
          <a:ext cx="266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257175</xdr:colOff>
      <xdr:row>7</xdr:row>
      <xdr:rowOff>190500</xdr:rowOff>
    </xdr:from>
    <xdr:to>
      <xdr:col>21</xdr:col>
      <xdr:colOff>238125</xdr:colOff>
      <xdr:row>7</xdr:row>
      <xdr:rowOff>190500</xdr:rowOff>
    </xdr:to>
    <xdr:sp>
      <xdr:nvSpPr>
        <xdr:cNvPr id="38" name="Line 504"/>
        <xdr:cNvSpPr>
          <a:spLocks/>
        </xdr:cNvSpPr>
      </xdr:nvSpPr>
      <xdr:spPr>
        <a:xfrm flipH="1">
          <a:off x="6162675" y="1866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28575</xdr:rowOff>
    </xdr:from>
    <xdr:to>
      <xdr:col>21</xdr:col>
      <xdr:colOff>285750</xdr:colOff>
      <xdr:row>7</xdr:row>
      <xdr:rowOff>28575</xdr:rowOff>
    </xdr:to>
    <xdr:sp>
      <xdr:nvSpPr>
        <xdr:cNvPr id="39" name="Line 505"/>
        <xdr:cNvSpPr>
          <a:spLocks/>
        </xdr:cNvSpPr>
      </xdr:nvSpPr>
      <xdr:spPr>
        <a:xfrm flipH="1">
          <a:off x="4314825" y="17049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104775</xdr:colOff>
      <xdr:row>7</xdr:row>
      <xdr:rowOff>133350</xdr:rowOff>
    </xdr:from>
    <xdr:to>
      <xdr:col>20</xdr:col>
      <xdr:colOff>257175</xdr:colOff>
      <xdr:row>7</xdr:row>
      <xdr:rowOff>190500</xdr:rowOff>
    </xdr:to>
    <xdr:sp>
      <xdr:nvSpPr>
        <xdr:cNvPr id="40" name="Line 506"/>
        <xdr:cNvSpPr>
          <a:spLocks/>
        </xdr:cNvSpPr>
      </xdr:nvSpPr>
      <xdr:spPr>
        <a:xfrm flipH="1" flipV="1">
          <a:off x="6010275" y="18097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190500</xdr:colOff>
      <xdr:row>7</xdr:row>
      <xdr:rowOff>133350</xdr:rowOff>
    </xdr:from>
    <xdr:to>
      <xdr:col>20</xdr:col>
      <xdr:colOff>104775</xdr:colOff>
      <xdr:row>7</xdr:row>
      <xdr:rowOff>133350</xdr:rowOff>
    </xdr:to>
    <xdr:sp>
      <xdr:nvSpPr>
        <xdr:cNvPr id="41" name="Line 507"/>
        <xdr:cNvSpPr>
          <a:spLocks/>
        </xdr:cNvSpPr>
      </xdr:nvSpPr>
      <xdr:spPr>
        <a:xfrm flipH="1">
          <a:off x="5210175" y="18097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133350</xdr:rowOff>
    </xdr:from>
    <xdr:to>
      <xdr:col>17</xdr:col>
      <xdr:colOff>190500</xdr:colOff>
      <xdr:row>7</xdr:row>
      <xdr:rowOff>180975</xdr:rowOff>
    </xdr:to>
    <xdr:sp>
      <xdr:nvSpPr>
        <xdr:cNvPr id="42" name="Line 508"/>
        <xdr:cNvSpPr>
          <a:spLocks/>
        </xdr:cNvSpPr>
      </xdr:nvSpPr>
      <xdr:spPr>
        <a:xfrm flipH="1">
          <a:off x="5067300" y="1809750"/>
          <a:ext cx="1428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38100</xdr:colOff>
      <xdr:row>7</xdr:row>
      <xdr:rowOff>180975</xdr:rowOff>
    </xdr:from>
    <xdr:to>
      <xdr:col>17</xdr:col>
      <xdr:colOff>47625</xdr:colOff>
      <xdr:row>7</xdr:row>
      <xdr:rowOff>180975</xdr:rowOff>
    </xdr:to>
    <xdr:sp>
      <xdr:nvSpPr>
        <xdr:cNvPr id="43" name="Line 509"/>
        <xdr:cNvSpPr>
          <a:spLocks/>
        </xdr:cNvSpPr>
      </xdr:nvSpPr>
      <xdr:spPr>
        <a:xfrm flipH="1">
          <a:off x="4762500" y="1857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180975</xdr:colOff>
      <xdr:row>7</xdr:row>
      <xdr:rowOff>133350</xdr:rowOff>
    </xdr:from>
    <xdr:to>
      <xdr:col>16</xdr:col>
      <xdr:colOff>38100</xdr:colOff>
      <xdr:row>7</xdr:row>
      <xdr:rowOff>180975</xdr:rowOff>
    </xdr:to>
    <xdr:sp>
      <xdr:nvSpPr>
        <xdr:cNvPr id="44" name="Line 510"/>
        <xdr:cNvSpPr>
          <a:spLocks/>
        </xdr:cNvSpPr>
      </xdr:nvSpPr>
      <xdr:spPr>
        <a:xfrm flipH="1" flipV="1">
          <a:off x="4610100" y="1809750"/>
          <a:ext cx="1524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180975</xdr:colOff>
      <xdr:row>7</xdr:row>
      <xdr:rowOff>133350</xdr:rowOff>
    </xdr:from>
    <xdr:to>
      <xdr:col>15</xdr:col>
      <xdr:colOff>180975</xdr:colOff>
      <xdr:row>7</xdr:row>
      <xdr:rowOff>133350</xdr:rowOff>
    </xdr:to>
    <xdr:sp>
      <xdr:nvSpPr>
        <xdr:cNvPr id="45" name="Line 511"/>
        <xdr:cNvSpPr>
          <a:spLocks/>
        </xdr:cNvSpPr>
      </xdr:nvSpPr>
      <xdr:spPr>
        <a:xfrm flipH="1">
          <a:off x="4314825" y="1809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180975</xdr:rowOff>
    </xdr:from>
    <xdr:to>
      <xdr:col>17</xdr:col>
      <xdr:colOff>38100</xdr:colOff>
      <xdr:row>11</xdr:row>
      <xdr:rowOff>57150</xdr:rowOff>
    </xdr:to>
    <xdr:grpSp>
      <xdr:nvGrpSpPr>
        <xdr:cNvPr id="46" name="Group 512"/>
        <xdr:cNvGrpSpPr>
          <a:grpSpLocks/>
        </xdr:cNvGrpSpPr>
      </xdr:nvGrpSpPr>
      <xdr:grpSpPr>
        <a:xfrm flipH="1">
          <a:off x="4772025" y="1857375"/>
          <a:ext cx="285750" cy="790575"/>
          <a:chOff x="315" y="499"/>
          <a:chExt cx="24" cy="83"/>
        </a:xfrm>
        <a:solidFill>
          <a:srgbClr val="FFFFFF"/>
        </a:solidFill>
      </xdr:grpSpPr>
      <xdr:sp>
        <xdr:nvSpPr>
          <xdr:cNvPr id="47" name="Line 513"/>
          <xdr:cNvSpPr>
            <a:spLocks/>
          </xdr:cNvSpPr>
        </xdr:nvSpPr>
        <xdr:spPr>
          <a:xfrm>
            <a:off x="317" y="499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514"/>
          <xdr:cNvSpPr>
            <a:spLocks/>
          </xdr:cNvSpPr>
        </xdr:nvSpPr>
        <xdr:spPr>
          <a:xfrm>
            <a:off x="327" y="499"/>
            <a:ext cx="0" cy="8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515"/>
          <xdr:cNvSpPr>
            <a:spLocks/>
          </xdr:cNvSpPr>
        </xdr:nvSpPr>
        <xdr:spPr>
          <a:xfrm>
            <a:off x="315" y="582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20</xdr:col>
      <xdr:colOff>257175</xdr:colOff>
      <xdr:row>7</xdr:row>
      <xdr:rowOff>180975</xdr:rowOff>
    </xdr:from>
    <xdr:to>
      <xdr:col>21</xdr:col>
      <xdr:colOff>247650</xdr:colOff>
      <xdr:row>11</xdr:row>
      <xdr:rowOff>57150</xdr:rowOff>
    </xdr:to>
    <xdr:grpSp>
      <xdr:nvGrpSpPr>
        <xdr:cNvPr id="50" name="Group 516"/>
        <xdr:cNvGrpSpPr>
          <a:grpSpLocks/>
        </xdr:cNvGrpSpPr>
      </xdr:nvGrpSpPr>
      <xdr:grpSpPr>
        <a:xfrm flipH="1">
          <a:off x="6162675" y="1857375"/>
          <a:ext cx="285750" cy="790575"/>
          <a:chOff x="315" y="499"/>
          <a:chExt cx="24" cy="83"/>
        </a:xfrm>
        <a:solidFill>
          <a:srgbClr val="FFFFFF"/>
        </a:solidFill>
      </xdr:grpSpPr>
      <xdr:sp>
        <xdr:nvSpPr>
          <xdr:cNvPr id="51" name="Line 517"/>
          <xdr:cNvSpPr>
            <a:spLocks/>
          </xdr:cNvSpPr>
        </xdr:nvSpPr>
        <xdr:spPr>
          <a:xfrm>
            <a:off x="317" y="499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518"/>
          <xdr:cNvSpPr>
            <a:spLocks/>
          </xdr:cNvSpPr>
        </xdr:nvSpPr>
        <xdr:spPr>
          <a:xfrm>
            <a:off x="327" y="499"/>
            <a:ext cx="0" cy="8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519"/>
          <xdr:cNvSpPr>
            <a:spLocks/>
          </xdr:cNvSpPr>
        </xdr:nvSpPr>
        <xdr:spPr>
          <a:xfrm>
            <a:off x="315" y="582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161925</xdr:colOff>
      <xdr:row>5</xdr:row>
      <xdr:rowOff>57150</xdr:rowOff>
    </xdr:from>
    <xdr:to>
      <xdr:col>26</xdr:col>
      <xdr:colOff>9525</xdr:colOff>
      <xdr:row>12</xdr:row>
      <xdr:rowOff>209550</xdr:rowOff>
    </xdr:to>
    <xdr:grpSp>
      <xdr:nvGrpSpPr>
        <xdr:cNvPr id="54" name="Group 520"/>
        <xdr:cNvGrpSpPr>
          <a:grpSpLocks/>
        </xdr:cNvGrpSpPr>
      </xdr:nvGrpSpPr>
      <xdr:grpSpPr>
        <a:xfrm flipH="1">
          <a:off x="4295775" y="1276350"/>
          <a:ext cx="3390900" cy="1752600"/>
          <a:chOff x="210" y="438"/>
          <a:chExt cx="288" cy="184"/>
        </a:xfrm>
        <a:solidFill>
          <a:srgbClr val="FFFFFF"/>
        </a:solidFill>
      </xdr:grpSpPr>
      <xdr:grpSp>
        <xdr:nvGrpSpPr>
          <xdr:cNvPr id="55" name="Group 521"/>
          <xdr:cNvGrpSpPr>
            <a:grpSpLocks/>
          </xdr:cNvGrpSpPr>
        </xdr:nvGrpSpPr>
        <xdr:grpSpPr>
          <a:xfrm>
            <a:off x="210" y="438"/>
            <a:ext cx="287" cy="184"/>
            <a:chOff x="210" y="438"/>
            <a:chExt cx="287" cy="184"/>
          </a:xfrm>
          <a:solidFill>
            <a:srgbClr val="FFFFFF"/>
          </a:solidFill>
        </xdr:grpSpPr>
        <xdr:grpSp>
          <xdr:nvGrpSpPr>
            <xdr:cNvPr id="56" name="Group 522"/>
            <xdr:cNvGrpSpPr>
              <a:grpSpLocks/>
            </xdr:cNvGrpSpPr>
          </xdr:nvGrpSpPr>
          <xdr:grpSpPr>
            <a:xfrm>
              <a:off x="210" y="439"/>
              <a:ext cx="81" cy="183"/>
              <a:chOff x="68" y="453"/>
              <a:chExt cx="81" cy="183"/>
            </a:xfrm>
            <a:solidFill>
              <a:srgbClr val="FFFFFF"/>
            </a:solidFill>
          </xdr:grpSpPr>
          <xdr:sp>
            <xdr:nvSpPr>
              <xdr:cNvPr id="57" name="Line 523"/>
              <xdr:cNvSpPr>
                <a:spLocks/>
              </xdr:cNvSpPr>
            </xdr:nvSpPr>
            <xdr:spPr>
              <a:xfrm>
                <a:off x="71" y="453"/>
                <a:ext cx="78" cy="18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58" name="Line 524"/>
              <xdr:cNvSpPr>
                <a:spLocks/>
              </xdr:cNvSpPr>
            </xdr:nvSpPr>
            <xdr:spPr>
              <a:xfrm>
                <a:off x="68" y="455"/>
                <a:ext cx="78" cy="18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59" name="Line 525"/>
              <xdr:cNvSpPr>
                <a:spLocks/>
              </xdr:cNvSpPr>
            </xdr:nvSpPr>
            <xdr:spPr>
              <a:xfrm flipH="1">
                <a:off x="68" y="453"/>
                <a:ext cx="3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60" name="Line 526"/>
              <xdr:cNvSpPr>
                <a:spLocks/>
              </xdr:cNvSpPr>
            </xdr:nvSpPr>
            <xdr:spPr>
              <a:xfrm flipV="1">
                <a:off x="146" y="635"/>
                <a:ext cx="3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61" name="Group 527"/>
            <xdr:cNvGrpSpPr>
              <a:grpSpLocks/>
            </xdr:cNvGrpSpPr>
          </xdr:nvGrpSpPr>
          <xdr:grpSpPr>
            <a:xfrm>
              <a:off x="270" y="609"/>
              <a:ext cx="227" cy="3"/>
              <a:chOff x="270" y="609"/>
              <a:chExt cx="227" cy="3"/>
            </a:xfrm>
            <a:solidFill>
              <a:srgbClr val="FFFFFF"/>
            </a:solidFill>
          </xdr:grpSpPr>
          <xdr:sp>
            <xdr:nvSpPr>
              <xdr:cNvPr id="62" name="Line 528"/>
              <xdr:cNvSpPr>
                <a:spLocks/>
              </xdr:cNvSpPr>
            </xdr:nvSpPr>
            <xdr:spPr>
              <a:xfrm>
                <a:off x="270" y="609"/>
                <a:ext cx="2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63" name="Line 529"/>
              <xdr:cNvSpPr>
                <a:spLocks/>
              </xdr:cNvSpPr>
            </xdr:nvSpPr>
            <xdr:spPr>
              <a:xfrm>
                <a:off x="270" y="612"/>
                <a:ext cx="2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64" name="Line 530"/>
              <xdr:cNvSpPr>
                <a:spLocks/>
              </xdr:cNvSpPr>
            </xdr:nvSpPr>
            <xdr:spPr>
              <a:xfrm>
                <a:off x="270" y="609"/>
                <a:ext cx="0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65" name="Group 531"/>
            <xdr:cNvGrpSpPr>
              <a:grpSpLocks/>
            </xdr:cNvGrpSpPr>
          </xdr:nvGrpSpPr>
          <xdr:grpSpPr>
            <a:xfrm>
              <a:off x="213" y="438"/>
              <a:ext cx="75" cy="171"/>
              <a:chOff x="213" y="438"/>
              <a:chExt cx="75" cy="171"/>
            </a:xfrm>
            <a:solidFill>
              <a:srgbClr val="FFFFFF"/>
            </a:solidFill>
          </xdr:grpSpPr>
          <xdr:sp>
            <xdr:nvSpPr>
              <xdr:cNvPr id="66" name="Line 532"/>
              <xdr:cNvSpPr>
                <a:spLocks/>
              </xdr:cNvSpPr>
            </xdr:nvSpPr>
            <xdr:spPr>
              <a:xfrm>
                <a:off x="215" y="438"/>
                <a:ext cx="73" cy="17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67" name="Line 533"/>
              <xdr:cNvSpPr>
                <a:spLocks/>
              </xdr:cNvSpPr>
            </xdr:nvSpPr>
            <xdr:spPr>
              <a:xfrm flipV="1">
                <a:off x="213" y="438"/>
                <a:ext cx="2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68" name="Group 534"/>
            <xdr:cNvGrpSpPr>
              <a:grpSpLocks/>
            </xdr:cNvGrpSpPr>
          </xdr:nvGrpSpPr>
          <xdr:grpSpPr>
            <a:xfrm>
              <a:off x="235" y="493"/>
              <a:ext cx="108" cy="124"/>
              <a:chOff x="237" y="492"/>
              <a:chExt cx="108" cy="124"/>
            </a:xfrm>
            <a:solidFill>
              <a:srgbClr val="FFFFFF"/>
            </a:solidFill>
          </xdr:grpSpPr>
          <xdr:sp>
            <xdr:nvSpPr>
              <xdr:cNvPr id="69" name="Line 535"/>
              <xdr:cNvSpPr>
                <a:spLocks/>
              </xdr:cNvSpPr>
            </xdr:nvSpPr>
            <xdr:spPr>
              <a:xfrm>
                <a:off x="239" y="492"/>
                <a:ext cx="106" cy="1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0" name="Line 536"/>
              <xdr:cNvSpPr>
                <a:spLocks/>
              </xdr:cNvSpPr>
            </xdr:nvSpPr>
            <xdr:spPr>
              <a:xfrm>
                <a:off x="237" y="494"/>
                <a:ext cx="106" cy="1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1" name="Line 537"/>
              <xdr:cNvSpPr>
                <a:spLocks/>
              </xdr:cNvSpPr>
            </xdr:nvSpPr>
            <xdr:spPr>
              <a:xfrm flipV="1">
                <a:off x="237" y="492"/>
                <a:ext cx="2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72" name="Line 538"/>
              <xdr:cNvSpPr>
                <a:spLocks/>
              </xdr:cNvSpPr>
            </xdr:nvSpPr>
            <xdr:spPr>
              <a:xfrm flipH="1">
                <a:off x="343" y="614"/>
                <a:ext cx="2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</xdr:grpSp>
      <xdr:grpSp>
        <xdr:nvGrpSpPr>
          <xdr:cNvPr id="73" name="Group 539"/>
          <xdr:cNvGrpSpPr>
            <a:grpSpLocks/>
          </xdr:cNvGrpSpPr>
        </xdr:nvGrpSpPr>
        <xdr:grpSpPr>
          <a:xfrm>
            <a:off x="288" y="611"/>
            <a:ext cx="210" cy="8"/>
            <a:chOff x="288" y="611"/>
            <a:chExt cx="210" cy="8"/>
          </a:xfrm>
          <a:solidFill>
            <a:srgbClr val="FFFFFF"/>
          </a:solidFill>
        </xdr:grpSpPr>
        <xdr:sp>
          <xdr:nvSpPr>
            <xdr:cNvPr id="74" name="AutoShape 540"/>
            <xdr:cNvSpPr>
              <a:spLocks/>
            </xdr:cNvSpPr>
          </xdr:nvSpPr>
          <xdr:spPr>
            <a:xfrm>
              <a:off x="288" y="611"/>
              <a:ext cx="48" cy="5"/>
            </a:xfrm>
            <a:custGeom>
              <a:pathLst>
                <a:path h="5" w="48">
                  <a:moveTo>
                    <a:pt x="0" y="1"/>
                  </a:moveTo>
                  <a:cubicBezTo>
                    <a:pt x="2" y="2"/>
                    <a:pt x="8" y="3"/>
                    <a:pt x="12" y="4"/>
                  </a:cubicBezTo>
                  <a:cubicBezTo>
                    <a:pt x="16" y="5"/>
                    <a:pt x="20" y="5"/>
                    <a:pt x="24" y="5"/>
                  </a:cubicBezTo>
                  <a:cubicBezTo>
                    <a:pt x="28" y="5"/>
                    <a:pt x="32" y="5"/>
                    <a:pt x="36" y="4"/>
                  </a:cubicBezTo>
                  <a:cubicBezTo>
                    <a:pt x="40" y="3"/>
                    <a:pt x="46" y="1"/>
                    <a:pt x="48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75" name="AutoShape 541"/>
            <xdr:cNvSpPr>
              <a:spLocks/>
            </xdr:cNvSpPr>
          </xdr:nvSpPr>
          <xdr:spPr>
            <a:xfrm>
              <a:off x="341" y="612"/>
              <a:ext cx="116" cy="5"/>
            </a:xfrm>
            <a:custGeom>
              <a:pathLst>
                <a:path h="5" w="116">
                  <a:moveTo>
                    <a:pt x="0" y="0"/>
                  </a:moveTo>
                  <a:cubicBezTo>
                    <a:pt x="6" y="1"/>
                    <a:pt x="24" y="4"/>
                    <a:pt x="37" y="5"/>
                  </a:cubicBezTo>
                  <a:lnTo>
                    <a:pt x="76" y="5"/>
                  </a:lnTo>
                  <a:cubicBezTo>
                    <a:pt x="89" y="4"/>
                    <a:pt x="108" y="1"/>
                    <a:pt x="116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76" name="AutoShape 542"/>
            <xdr:cNvSpPr>
              <a:spLocks/>
            </xdr:cNvSpPr>
          </xdr:nvSpPr>
          <xdr:spPr>
            <a:xfrm>
              <a:off x="459" y="612"/>
              <a:ext cx="39" cy="7"/>
            </a:xfrm>
            <a:custGeom>
              <a:pathLst>
                <a:path h="7" w="39">
                  <a:moveTo>
                    <a:pt x="0" y="0"/>
                  </a:moveTo>
                  <a:cubicBezTo>
                    <a:pt x="2" y="1"/>
                    <a:pt x="11" y="3"/>
                    <a:pt x="15" y="4"/>
                  </a:cubicBezTo>
                  <a:cubicBezTo>
                    <a:pt x="19" y="5"/>
                    <a:pt x="22" y="6"/>
                    <a:pt x="26" y="6"/>
                  </a:cubicBezTo>
                  <a:cubicBezTo>
                    <a:pt x="30" y="6"/>
                    <a:pt x="36" y="7"/>
                    <a:pt x="39" y="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276225</xdr:colOff>
      <xdr:row>7</xdr:row>
      <xdr:rowOff>76200</xdr:rowOff>
    </xdr:from>
    <xdr:to>
      <xdr:col>23</xdr:col>
      <xdr:colOff>285750</xdr:colOff>
      <xdr:row>10</xdr:row>
      <xdr:rowOff>9525</xdr:rowOff>
    </xdr:to>
    <xdr:sp>
      <xdr:nvSpPr>
        <xdr:cNvPr id="77" name="Line 544"/>
        <xdr:cNvSpPr>
          <a:spLocks/>
        </xdr:cNvSpPr>
      </xdr:nvSpPr>
      <xdr:spPr>
        <a:xfrm>
          <a:off x="6772275" y="1752600"/>
          <a:ext cx="30480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104775</xdr:colOff>
      <xdr:row>7</xdr:row>
      <xdr:rowOff>171450</xdr:rowOff>
    </xdr:from>
    <xdr:to>
      <xdr:col>23</xdr:col>
      <xdr:colOff>0</xdr:colOff>
      <xdr:row>12</xdr:row>
      <xdr:rowOff>95250</xdr:rowOff>
    </xdr:to>
    <xdr:sp>
      <xdr:nvSpPr>
        <xdr:cNvPr id="78" name="Line 545"/>
        <xdr:cNvSpPr>
          <a:spLocks/>
        </xdr:cNvSpPr>
      </xdr:nvSpPr>
      <xdr:spPr>
        <a:xfrm>
          <a:off x="6305550" y="1847850"/>
          <a:ext cx="48577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285750</xdr:colOff>
      <xdr:row>11</xdr:row>
      <xdr:rowOff>47625</xdr:rowOff>
    </xdr:from>
    <xdr:to>
      <xdr:col>20</xdr:col>
      <xdr:colOff>285750</xdr:colOff>
      <xdr:row>12</xdr:row>
      <xdr:rowOff>85725</xdr:rowOff>
    </xdr:to>
    <xdr:sp>
      <xdr:nvSpPr>
        <xdr:cNvPr id="79" name="Line 546"/>
        <xdr:cNvSpPr>
          <a:spLocks/>
        </xdr:cNvSpPr>
      </xdr:nvSpPr>
      <xdr:spPr>
        <a:xfrm flipH="1">
          <a:off x="6191250" y="26384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57150</xdr:colOff>
      <xdr:row>11</xdr:row>
      <xdr:rowOff>57150</xdr:rowOff>
    </xdr:from>
    <xdr:to>
      <xdr:col>16</xdr:col>
      <xdr:colOff>57150</xdr:colOff>
      <xdr:row>12</xdr:row>
      <xdr:rowOff>85725</xdr:rowOff>
    </xdr:to>
    <xdr:sp>
      <xdr:nvSpPr>
        <xdr:cNvPr id="80" name="Line 547"/>
        <xdr:cNvSpPr>
          <a:spLocks/>
        </xdr:cNvSpPr>
      </xdr:nvSpPr>
      <xdr:spPr>
        <a:xfrm flipH="1">
          <a:off x="4781550" y="26479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161925</xdr:colOff>
      <xdr:row>12</xdr:row>
      <xdr:rowOff>57150</xdr:rowOff>
    </xdr:from>
    <xdr:to>
      <xdr:col>22</xdr:col>
      <xdr:colOff>238125</xdr:colOff>
      <xdr:row>12</xdr:row>
      <xdr:rowOff>76200</xdr:rowOff>
    </xdr:to>
    <xdr:grpSp>
      <xdr:nvGrpSpPr>
        <xdr:cNvPr id="81" name="Group 548"/>
        <xdr:cNvGrpSpPr>
          <a:grpSpLocks/>
        </xdr:cNvGrpSpPr>
      </xdr:nvGrpSpPr>
      <xdr:grpSpPr>
        <a:xfrm>
          <a:off x="4295775" y="2876550"/>
          <a:ext cx="2438400" cy="19050"/>
          <a:chOff x="125" y="349"/>
          <a:chExt cx="206" cy="2"/>
        </a:xfrm>
        <a:solidFill>
          <a:srgbClr val="FFFFFF"/>
        </a:solidFill>
      </xdr:grpSpPr>
      <xdr:sp>
        <xdr:nvSpPr>
          <xdr:cNvPr id="82" name="Line 549"/>
          <xdr:cNvSpPr>
            <a:spLocks/>
          </xdr:cNvSpPr>
        </xdr:nvSpPr>
        <xdr:spPr>
          <a:xfrm>
            <a:off x="125" y="349"/>
            <a:ext cx="2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Line 550"/>
          <xdr:cNvSpPr>
            <a:spLocks/>
          </xdr:cNvSpPr>
        </xdr:nvSpPr>
        <xdr:spPr>
          <a:xfrm>
            <a:off x="15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4" name="Line 551"/>
          <xdr:cNvSpPr>
            <a:spLocks/>
          </xdr:cNvSpPr>
        </xdr:nvSpPr>
        <xdr:spPr>
          <a:xfrm>
            <a:off x="17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5" name="Line 552"/>
          <xdr:cNvSpPr>
            <a:spLocks/>
          </xdr:cNvSpPr>
        </xdr:nvSpPr>
        <xdr:spPr>
          <a:xfrm>
            <a:off x="20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6" name="Line 553"/>
          <xdr:cNvSpPr>
            <a:spLocks/>
          </xdr:cNvSpPr>
        </xdr:nvSpPr>
        <xdr:spPr>
          <a:xfrm>
            <a:off x="22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7" name="Line 554"/>
          <xdr:cNvSpPr>
            <a:spLocks/>
          </xdr:cNvSpPr>
        </xdr:nvSpPr>
        <xdr:spPr>
          <a:xfrm>
            <a:off x="25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8" name="Line 555"/>
          <xdr:cNvSpPr>
            <a:spLocks/>
          </xdr:cNvSpPr>
        </xdr:nvSpPr>
        <xdr:spPr>
          <a:xfrm>
            <a:off x="27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9" name="Line 556"/>
          <xdr:cNvSpPr>
            <a:spLocks/>
          </xdr:cNvSpPr>
        </xdr:nvSpPr>
        <xdr:spPr>
          <a:xfrm>
            <a:off x="30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0" name="Line 557"/>
          <xdr:cNvSpPr>
            <a:spLocks/>
          </xdr:cNvSpPr>
        </xdr:nvSpPr>
        <xdr:spPr>
          <a:xfrm>
            <a:off x="32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114300</xdr:colOff>
      <xdr:row>6</xdr:row>
      <xdr:rowOff>95250</xdr:rowOff>
    </xdr:from>
    <xdr:to>
      <xdr:col>14</xdr:col>
      <xdr:colOff>200025</xdr:colOff>
      <xdr:row>13</xdr:row>
      <xdr:rowOff>161925</xdr:rowOff>
    </xdr:to>
    <xdr:grpSp>
      <xdr:nvGrpSpPr>
        <xdr:cNvPr id="91" name="Group 558"/>
        <xdr:cNvGrpSpPr>
          <a:grpSpLocks/>
        </xdr:cNvGrpSpPr>
      </xdr:nvGrpSpPr>
      <xdr:grpSpPr>
        <a:xfrm>
          <a:off x="4248150" y="1543050"/>
          <a:ext cx="85725" cy="1666875"/>
          <a:chOff x="823" y="48"/>
          <a:chExt cx="27" cy="360"/>
        </a:xfrm>
        <a:solidFill>
          <a:srgbClr val="FFFFFF"/>
        </a:solidFill>
      </xdr:grpSpPr>
      <xdr:sp>
        <xdr:nvSpPr>
          <xdr:cNvPr id="92" name="Line 559"/>
          <xdr:cNvSpPr>
            <a:spLocks/>
          </xdr:cNvSpPr>
        </xdr:nvSpPr>
        <xdr:spPr>
          <a:xfrm flipH="1">
            <a:off x="837" y="48"/>
            <a:ext cx="0" cy="17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3" name="Line 560"/>
          <xdr:cNvSpPr>
            <a:spLocks/>
          </xdr:cNvSpPr>
        </xdr:nvSpPr>
        <xdr:spPr>
          <a:xfrm flipH="1">
            <a:off x="823" y="226"/>
            <a:ext cx="14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4" name="Line 561"/>
          <xdr:cNvSpPr>
            <a:spLocks/>
          </xdr:cNvSpPr>
        </xdr:nvSpPr>
        <xdr:spPr>
          <a:xfrm flipH="1">
            <a:off x="823" y="232"/>
            <a:ext cx="2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Line 562"/>
          <xdr:cNvSpPr>
            <a:spLocks/>
          </xdr:cNvSpPr>
        </xdr:nvSpPr>
        <xdr:spPr>
          <a:xfrm flipH="1">
            <a:off x="837" y="232"/>
            <a:ext cx="13" cy="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6" name="Line 563"/>
          <xdr:cNvSpPr>
            <a:spLocks/>
          </xdr:cNvSpPr>
        </xdr:nvSpPr>
        <xdr:spPr>
          <a:xfrm flipH="1">
            <a:off x="837" y="239"/>
            <a:ext cx="0" cy="16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</xdr:col>
      <xdr:colOff>247650</xdr:colOff>
      <xdr:row>6</xdr:row>
      <xdr:rowOff>171450</xdr:rowOff>
    </xdr:from>
    <xdr:to>
      <xdr:col>6</xdr:col>
      <xdr:colOff>161925</xdr:colOff>
      <xdr:row>6</xdr:row>
      <xdr:rowOff>171450</xdr:rowOff>
    </xdr:to>
    <xdr:sp>
      <xdr:nvSpPr>
        <xdr:cNvPr id="97" name="Line 567"/>
        <xdr:cNvSpPr>
          <a:spLocks/>
        </xdr:cNvSpPr>
      </xdr:nvSpPr>
      <xdr:spPr>
        <a:xfrm>
          <a:off x="1724025" y="16192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171450</xdr:rowOff>
    </xdr:from>
    <xdr:to>
      <xdr:col>5</xdr:col>
      <xdr:colOff>247650</xdr:colOff>
      <xdr:row>7</xdr:row>
      <xdr:rowOff>133350</xdr:rowOff>
    </xdr:to>
    <xdr:sp>
      <xdr:nvSpPr>
        <xdr:cNvPr id="98" name="Line 568"/>
        <xdr:cNvSpPr>
          <a:spLocks/>
        </xdr:cNvSpPr>
      </xdr:nvSpPr>
      <xdr:spPr>
        <a:xfrm>
          <a:off x="1724025" y="1619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171450</xdr:rowOff>
    </xdr:from>
    <xdr:to>
      <xdr:col>6</xdr:col>
      <xdr:colOff>161925</xdr:colOff>
      <xdr:row>7</xdr:row>
      <xdr:rowOff>28575</xdr:rowOff>
    </xdr:to>
    <xdr:sp>
      <xdr:nvSpPr>
        <xdr:cNvPr id="99" name="Line 569"/>
        <xdr:cNvSpPr>
          <a:spLocks/>
        </xdr:cNvSpPr>
      </xdr:nvSpPr>
      <xdr:spPr>
        <a:xfrm>
          <a:off x="1933575" y="16192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133350</xdr:rowOff>
    </xdr:from>
    <xdr:to>
      <xdr:col>6</xdr:col>
      <xdr:colOff>209550</xdr:colOff>
      <xdr:row>7</xdr:row>
      <xdr:rowOff>190500</xdr:rowOff>
    </xdr:to>
    <xdr:sp>
      <xdr:nvSpPr>
        <xdr:cNvPr id="100" name="Line 570"/>
        <xdr:cNvSpPr>
          <a:spLocks/>
        </xdr:cNvSpPr>
      </xdr:nvSpPr>
      <xdr:spPr>
        <a:xfrm>
          <a:off x="1724025" y="1809750"/>
          <a:ext cx="2571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7</xdr:row>
      <xdr:rowOff>190500</xdr:rowOff>
    </xdr:from>
    <xdr:to>
      <xdr:col>7</xdr:col>
      <xdr:colOff>190500</xdr:colOff>
      <xdr:row>7</xdr:row>
      <xdr:rowOff>190500</xdr:rowOff>
    </xdr:to>
    <xdr:sp>
      <xdr:nvSpPr>
        <xdr:cNvPr id="101" name="Line 571"/>
        <xdr:cNvSpPr>
          <a:spLocks/>
        </xdr:cNvSpPr>
      </xdr:nvSpPr>
      <xdr:spPr>
        <a:xfrm>
          <a:off x="1981200" y="1866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161925</xdr:colOff>
      <xdr:row>7</xdr:row>
      <xdr:rowOff>28575</xdr:rowOff>
    </xdr:from>
    <xdr:to>
      <xdr:col>13</xdr:col>
      <xdr:colOff>285750</xdr:colOff>
      <xdr:row>7</xdr:row>
      <xdr:rowOff>28575</xdr:rowOff>
    </xdr:to>
    <xdr:sp>
      <xdr:nvSpPr>
        <xdr:cNvPr id="102" name="Line 572"/>
        <xdr:cNvSpPr>
          <a:spLocks/>
        </xdr:cNvSpPr>
      </xdr:nvSpPr>
      <xdr:spPr>
        <a:xfrm>
          <a:off x="1933575" y="17049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190500</xdr:colOff>
      <xdr:row>7</xdr:row>
      <xdr:rowOff>133350</xdr:rowOff>
    </xdr:from>
    <xdr:to>
      <xdr:col>8</xdr:col>
      <xdr:colOff>47625</xdr:colOff>
      <xdr:row>7</xdr:row>
      <xdr:rowOff>190500</xdr:rowOff>
    </xdr:to>
    <xdr:sp>
      <xdr:nvSpPr>
        <xdr:cNvPr id="103" name="Line 573"/>
        <xdr:cNvSpPr>
          <a:spLocks/>
        </xdr:cNvSpPr>
      </xdr:nvSpPr>
      <xdr:spPr>
        <a:xfrm flipV="1">
          <a:off x="2257425" y="18097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133350</xdr:rowOff>
    </xdr:from>
    <xdr:to>
      <xdr:col>10</xdr:col>
      <xdr:colOff>276225</xdr:colOff>
      <xdr:row>7</xdr:row>
      <xdr:rowOff>133350</xdr:rowOff>
    </xdr:to>
    <xdr:sp>
      <xdr:nvSpPr>
        <xdr:cNvPr id="104" name="Line 574"/>
        <xdr:cNvSpPr>
          <a:spLocks/>
        </xdr:cNvSpPr>
      </xdr:nvSpPr>
      <xdr:spPr>
        <a:xfrm>
          <a:off x="2409825" y="18097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276225</xdr:colOff>
      <xdr:row>7</xdr:row>
      <xdr:rowOff>133350</xdr:rowOff>
    </xdr:from>
    <xdr:to>
      <xdr:col>11</xdr:col>
      <xdr:colOff>114300</xdr:colOff>
      <xdr:row>7</xdr:row>
      <xdr:rowOff>180975</xdr:rowOff>
    </xdr:to>
    <xdr:sp>
      <xdr:nvSpPr>
        <xdr:cNvPr id="105" name="Line 575"/>
        <xdr:cNvSpPr>
          <a:spLocks/>
        </xdr:cNvSpPr>
      </xdr:nvSpPr>
      <xdr:spPr>
        <a:xfrm>
          <a:off x="3228975" y="1809750"/>
          <a:ext cx="1333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114300</xdr:colOff>
      <xdr:row>7</xdr:row>
      <xdr:rowOff>180975</xdr:rowOff>
    </xdr:from>
    <xdr:to>
      <xdr:col>12</xdr:col>
      <xdr:colOff>133350</xdr:colOff>
      <xdr:row>7</xdr:row>
      <xdr:rowOff>180975</xdr:rowOff>
    </xdr:to>
    <xdr:sp>
      <xdr:nvSpPr>
        <xdr:cNvPr id="106" name="Line 576"/>
        <xdr:cNvSpPr>
          <a:spLocks/>
        </xdr:cNvSpPr>
      </xdr:nvSpPr>
      <xdr:spPr>
        <a:xfrm>
          <a:off x="3362325" y="18573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133350</xdr:colOff>
      <xdr:row>7</xdr:row>
      <xdr:rowOff>133350</xdr:rowOff>
    </xdr:from>
    <xdr:to>
      <xdr:col>12</xdr:col>
      <xdr:colOff>285750</xdr:colOff>
      <xdr:row>7</xdr:row>
      <xdr:rowOff>180975</xdr:rowOff>
    </xdr:to>
    <xdr:sp>
      <xdr:nvSpPr>
        <xdr:cNvPr id="107" name="Line 577"/>
        <xdr:cNvSpPr>
          <a:spLocks/>
        </xdr:cNvSpPr>
      </xdr:nvSpPr>
      <xdr:spPr>
        <a:xfrm flipV="1">
          <a:off x="3676650" y="1809750"/>
          <a:ext cx="1524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285750</xdr:colOff>
      <xdr:row>7</xdr:row>
      <xdr:rowOff>133350</xdr:rowOff>
    </xdr:from>
    <xdr:to>
      <xdr:col>13</xdr:col>
      <xdr:colOff>285750</xdr:colOff>
      <xdr:row>7</xdr:row>
      <xdr:rowOff>133350</xdr:rowOff>
    </xdr:to>
    <xdr:sp>
      <xdr:nvSpPr>
        <xdr:cNvPr id="108" name="Line 578"/>
        <xdr:cNvSpPr>
          <a:spLocks/>
        </xdr:cNvSpPr>
      </xdr:nvSpPr>
      <xdr:spPr>
        <a:xfrm>
          <a:off x="3829050" y="1809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133350</xdr:colOff>
      <xdr:row>7</xdr:row>
      <xdr:rowOff>180975</xdr:rowOff>
    </xdr:from>
    <xdr:to>
      <xdr:col>12</xdr:col>
      <xdr:colOff>114300</xdr:colOff>
      <xdr:row>11</xdr:row>
      <xdr:rowOff>57150</xdr:rowOff>
    </xdr:to>
    <xdr:grpSp>
      <xdr:nvGrpSpPr>
        <xdr:cNvPr id="109" name="Group 579"/>
        <xdr:cNvGrpSpPr>
          <a:grpSpLocks/>
        </xdr:cNvGrpSpPr>
      </xdr:nvGrpSpPr>
      <xdr:grpSpPr>
        <a:xfrm>
          <a:off x="3381375" y="1857375"/>
          <a:ext cx="276225" cy="790575"/>
          <a:chOff x="315" y="499"/>
          <a:chExt cx="24" cy="83"/>
        </a:xfrm>
        <a:solidFill>
          <a:srgbClr val="FFFFFF"/>
        </a:solidFill>
      </xdr:grpSpPr>
      <xdr:sp>
        <xdr:nvSpPr>
          <xdr:cNvPr id="110" name="Line 580"/>
          <xdr:cNvSpPr>
            <a:spLocks/>
          </xdr:cNvSpPr>
        </xdr:nvSpPr>
        <xdr:spPr>
          <a:xfrm>
            <a:off x="317" y="499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1" name="Line 581"/>
          <xdr:cNvSpPr>
            <a:spLocks/>
          </xdr:cNvSpPr>
        </xdr:nvSpPr>
        <xdr:spPr>
          <a:xfrm>
            <a:off x="327" y="499"/>
            <a:ext cx="0" cy="8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2" name="Line 582"/>
          <xdr:cNvSpPr>
            <a:spLocks/>
          </xdr:cNvSpPr>
        </xdr:nvSpPr>
        <xdr:spPr>
          <a:xfrm>
            <a:off x="315" y="582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7</xdr:row>
      <xdr:rowOff>180975</xdr:rowOff>
    </xdr:from>
    <xdr:to>
      <xdr:col>7</xdr:col>
      <xdr:colOff>190500</xdr:colOff>
      <xdr:row>11</xdr:row>
      <xdr:rowOff>57150</xdr:rowOff>
    </xdr:to>
    <xdr:grpSp>
      <xdr:nvGrpSpPr>
        <xdr:cNvPr id="113" name="Group 583"/>
        <xdr:cNvGrpSpPr>
          <a:grpSpLocks/>
        </xdr:cNvGrpSpPr>
      </xdr:nvGrpSpPr>
      <xdr:grpSpPr>
        <a:xfrm>
          <a:off x="1971675" y="1857375"/>
          <a:ext cx="285750" cy="790575"/>
          <a:chOff x="315" y="499"/>
          <a:chExt cx="24" cy="83"/>
        </a:xfrm>
        <a:solidFill>
          <a:srgbClr val="FFFFFF"/>
        </a:solidFill>
      </xdr:grpSpPr>
      <xdr:sp>
        <xdr:nvSpPr>
          <xdr:cNvPr id="114" name="Line 584"/>
          <xdr:cNvSpPr>
            <a:spLocks/>
          </xdr:cNvSpPr>
        </xdr:nvSpPr>
        <xdr:spPr>
          <a:xfrm>
            <a:off x="317" y="499"/>
            <a:ext cx="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5" name="Line 585"/>
          <xdr:cNvSpPr>
            <a:spLocks/>
          </xdr:cNvSpPr>
        </xdr:nvSpPr>
        <xdr:spPr>
          <a:xfrm>
            <a:off x="327" y="499"/>
            <a:ext cx="0" cy="8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6" name="Line 586"/>
          <xdr:cNvSpPr>
            <a:spLocks/>
          </xdr:cNvSpPr>
        </xdr:nvSpPr>
        <xdr:spPr>
          <a:xfrm>
            <a:off x="315" y="582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5</xdr:row>
      <xdr:rowOff>57150</xdr:rowOff>
    </xdr:from>
    <xdr:to>
      <xdr:col>14</xdr:col>
      <xdr:colOff>0</xdr:colOff>
      <xdr:row>12</xdr:row>
      <xdr:rowOff>209550</xdr:rowOff>
    </xdr:to>
    <xdr:grpSp>
      <xdr:nvGrpSpPr>
        <xdr:cNvPr id="117" name="Group 587"/>
        <xdr:cNvGrpSpPr>
          <a:grpSpLocks/>
        </xdr:cNvGrpSpPr>
      </xdr:nvGrpSpPr>
      <xdr:grpSpPr>
        <a:xfrm>
          <a:off x="733425" y="1276350"/>
          <a:ext cx="3400425" cy="1752600"/>
          <a:chOff x="210" y="438"/>
          <a:chExt cx="288" cy="184"/>
        </a:xfrm>
        <a:solidFill>
          <a:srgbClr val="FFFFFF"/>
        </a:solidFill>
      </xdr:grpSpPr>
      <xdr:grpSp>
        <xdr:nvGrpSpPr>
          <xdr:cNvPr id="118" name="Group 588"/>
          <xdr:cNvGrpSpPr>
            <a:grpSpLocks/>
          </xdr:cNvGrpSpPr>
        </xdr:nvGrpSpPr>
        <xdr:grpSpPr>
          <a:xfrm>
            <a:off x="210" y="438"/>
            <a:ext cx="287" cy="184"/>
            <a:chOff x="210" y="438"/>
            <a:chExt cx="287" cy="184"/>
          </a:xfrm>
          <a:solidFill>
            <a:srgbClr val="FFFFFF"/>
          </a:solidFill>
        </xdr:grpSpPr>
        <xdr:grpSp>
          <xdr:nvGrpSpPr>
            <xdr:cNvPr id="119" name="Group 589"/>
            <xdr:cNvGrpSpPr>
              <a:grpSpLocks/>
            </xdr:cNvGrpSpPr>
          </xdr:nvGrpSpPr>
          <xdr:grpSpPr>
            <a:xfrm>
              <a:off x="210" y="439"/>
              <a:ext cx="81" cy="183"/>
              <a:chOff x="68" y="453"/>
              <a:chExt cx="81" cy="183"/>
            </a:xfrm>
            <a:solidFill>
              <a:srgbClr val="FFFFFF"/>
            </a:solidFill>
          </xdr:grpSpPr>
          <xdr:sp>
            <xdr:nvSpPr>
              <xdr:cNvPr id="120" name="Line 590"/>
              <xdr:cNvSpPr>
                <a:spLocks/>
              </xdr:cNvSpPr>
            </xdr:nvSpPr>
            <xdr:spPr>
              <a:xfrm>
                <a:off x="71" y="453"/>
                <a:ext cx="78" cy="18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21" name="Line 591"/>
              <xdr:cNvSpPr>
                <a:spLocks/>
              </xdr:cNvSpPr>
            </xdr:nvSpPr>
            <xdr:spPr>
              <a:xfrm>
                <a:off x="68" y="455"/>
                <a:ext cx="78" cy="18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22" name="Line 592"/>
              <xdr:cNvSpPr>
                <a:spLocks/>
              </xdr:cNvSpPr>
            </xdr:nvSpPr>
            <xdr:spPr>
              <a:xfrm flipH="1">
                <a:off x="68" y="453"/>
                <a:ext cx="3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23" name="Line 593"/>
              <xdr:cNvSpPr>
                <a:spLocks/>
              </xdr:cNvSpPr>
            </xdr:nvSpPr>
            <xdr:spPr>
              <a:xfrm flipV="1">
                <a:off x="146" y="635"/>
                <a:ext cx="3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124" name="Group 594"/>
            <xdr:cNvGrpSpPr>
              <a:grpSpLocks/>
            </xdr:cNvGrpSpPr>
          </xdr:nvGrpSpPr>
          <xdr:grpSpPr>
            <a:xfrm>
              <a:off x="270" y="609"/>
              <a:ext cx="227" cy="3"/>
              <a:chOff x="270" y="609"/>
              <a:chExt cx="227" cy="3"/>
            </a:xfrm>
            <a:solidFill>
              <a:srgbClr val="FFFFFF"/>
            </a:solidFill>
          </xdr:grpSpPr>
          <xdr:sp>
            <xdr:nvSpPr>
              <xdr:cNvPr id="125" name="Line 595"/>
              <xdr:cNvSpPr>
                <a:spLocks/>
              </xdr:cNvSpPr>
            </xdr:nvSpPr>
            <xdr:spPr>
              <a:xfrm>
                <a:off x="270" y="609"/>
                <a:ext cx="2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26" name="Line 596"/>
              <xdr:cNvSpPr>
                <a:spLocks/>
              </xdr:cNvSpPr>
            </xdr:nvSpPr>
            <xdr:spPr>
              <a:xfrm>
                <a:off x="270" y="612"/>
                <a:ext cx="22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27" name="Line 597"/>
              <xdr:cNvSpPr>
                <a:spLocks/>
              </xdr:cNvSpPr>
            </xdr:nvSpPr>
            <xdr:spPr>
              <a:xfrm>
                <a:off x="270" y="609"/>
                <a:ext cx="0" cy="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128" name="Group 598"/>
            <xdr:cNvGrpSpPr>
              <a:grpSpLocks/>
            </xdr:cNvGrpSpPr>
          </xdr:nvGrpSpPr>
          <xdr:grpSpPr>
            <a:xfrm>
              <a:off x="213" y="438"/>
              <a:ext cx="75" cy="171"/>
              <a:chOff x="213" y="438"/>
              <a:chExt cx="75" cy="171"/>
            </a:xfrm>
            <a:solidFill>
              <a:srgbClr val="FFFFFF"/>
            </a:solidFill>
          </xdr:grpSpPr>
          <xdr:sp>
            <xdr:nvSpPr>
              <xdr:cNvPr id="129" name="Line 599"/>
              <xdr:cNvSpPr>
                <a:spLocks/>
              </xdr:cNvSpPr>
            </xdr:nvSpPr>
            <xdr:spPr>
              <a:xfrm>
                <a:off x="215" y="438"/>
                <a:ext cx="73" cy="17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30" name="Line 600"/>
              <xdr:cNvSpPr>
                <a:spLocks/>
              </xdr:cNvSpPr>
            </xdr:nvSpPr>
            <xdr:spPr>
              <a:xfrm flipV="1">
                <a:off x="213" y="438"/>
                <a:ext cx="2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  <xdr:grpSp>
          <xdr:nvGrpSpPr>
            <xdr:cNvPr id="131" name="Group 601"/>
            <xdr:cNvGrpSpPr>
              <a:grpSpLocks/>
            </xdr:cNvGrpSpPr>
          </xdr:nvGrpSpPr>
          <xdr:grpSpPr>
            <a:xfrm>
              <a:off x="235" y="493"/>
              <a:ext cx="108" cy="124"/>
              <a:chOff x="237" y="492"/>
              <a:chExt cx="108" cy="124"/>
            </a:xfrm>
            <a:solidFill>
              <a:srgbClr val="FFFFFF"/>
            </a:solidFill>
          </xdr:grpSpPr>
          <xdr:sp>
            <xdr:nvSpPr>
              <xdr:cNvPr id="132" name="Line 602"/>
              <xdr:cNvSpPr>
                <a:spLocks/>
              </xdr:cNvSpPr>
            </xdr:nvSpPr>
            <xdr:spPr>
              <a:xfrm>
                <a:off x="239" y="492"/>
                <a:ext cx="106" cy="1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33" name="Line 603"/>
              <xdr:cNvSpPr>
                <a:spLocks/>
              </xdr:cNvSpPr>
            </xdr:nvSpPr>
            <xdr:spPr>
              <a:xfrm>
                <a:off x="237" y="494"/>
                <a:ext cx="106" cy="1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34" name="Line 604"/>
              <xdr:cNvSpPr>
                <a:spLocks/>
              </xdr:cNvSpPr>
            </xdr:nvSpPr>
            <xdr:spPr>
              <a:xfrm flipV="1">
                <a:off x="237" y="492"/>
                <a:ext cx="2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135" name="Line 605"/>
              <xdr:cNvSpPr>
                <a:spLocks/>
              </xdr:cNvSpPr>
            </xdr:nvSpPr>
            <xdr:spPr>
              <a:xfrm flipH="1">
                <a:off x="343" y="614"/>
                <a:ext cx="2" cy="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</xdr:grpSp>
      <xdr:grpSp>
        <xdr:nvGrpSpPr>
          <xdr:cNvPr id="136" name="Group 606"/>
          <xdr:cNvGrpSpPr>
            <a:grpSpLocks/>
          </xdr:cNvGrpSpPr>
        </xdr:nvGrpSpPr>
        <xdr:grpSpPr>
          <a:xfrm>
            <a:off x="288" y="611"/>
            <a:ext cx="210" cy="8"/>
            <a:chOff x="288" y="611"/>
            <a:chExt cx="210" cy="8"/>
          </a:xfrm>
          <a:solidFill>
            <a:srgbClr val="FFFFFF"/>
          </a:solidFill>
        </xdr:grpSpPr>
        <xdr:sp>
          <xdr:nvSpPr>
            <xdr:cNvPr id="137" name="AutoShape 607"/>
            <xdr:cNvSpPr>
              <a:spLocks/>
            </xdr:cNvSpPr>
          </xdr:nvSpPr>
          <xdr:spPr>
            <a:xfrm>
              <a:off x="288" y="611"/>
              <a:ext cx="48" cy="5"/>
            </a:xfrm>
            <a:custGeom>
              <a:pathLst>
                <a:path h="5" w="48">
                  <a:moveTo>
                    <a:pt x="0" y="1"/>
                  </a:moveTo>
                  <a:cubicBezTo>
                    <a:pt x="2" y="2"/>
                    <a:pt x="8" y="3"/>
                    <a:pt x="12" y="4"/>
                  </a:cubicBezTo>
                  <a:cubicBezTo>
                    <a:pt x="16" y="5"/>
                    <a:pt x="20" y="5"/>
                    <a:pt x="24" y="5"/>
                  </a:cubicBezTo>
                  <a:cubicBezTo>
                    <a:pt x="28" y="5"/>
                    <a:pt x="32" y="5"/>
                    <a:pt x="36" y="4"/>
                  </a:cubicBezTo>
                  <a:cubicBezTo>
                    <a:pt x="40" y="3"/>
                    <a:pt x="46" y="1"/>
                    <a:pt x="48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38" name="AutoShape 608"/>
            <xdr:cNvSpPr>
              <a:spLocks/>
            </xdr:cNvSpPr>
          </xdr:nvSpPr>
          <xdr:spPr>
            <a:xfrm>
              <a:off x="341" y="612"/>
              <a:ext cx="116" cy="5"/>
            </a:xfrm>
            <a:custGeom>
              <a:pathLst>
                <a:path h="5" w="116">
                  <a:moveTo>
                    <a:pt x="0" y="0"/>
                  </a:moveTo>
                  <a:cubicBezTo>
                    <a:pt x="6" y="1"/>
                    <a:pt x="24" y="4"/>
                    <a:pt x="37" y="5"/>
                  </a:cubicBezTo>
                  <a:lnTo>
                    <a:pt x="76" y="5"/>
                  </a:lnTo>
                  <a:cubicBezTo>
                    <a:pt x="89" y="4"/>
                    <a:pt x="108" y="1"/>
                    <a:pt x="116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39" name="AutoShape 609"/>
            <xdr:cNvSpPr>
              <a:spLocks/>
            </xdr:cNvSpPr>
          </xdr:nvSpPr>
          <xdr:spPr>
            <a:xfrm>
              <a:off x="459" y="612"/>
              <a:ext cx="39" cy="7"/>
            </a:xfrm>
            <a:custGeom>
              <a:pathLst>
                <a:path h="7" w="39">
                  <a:moveTo>
                    <a:pt x="0" y="0"/>
                  </a:moveTo>
                  <a:cubicBezTo>
                    <a:pt x="2" y="1"/>
                    <a:pt x="11" y="3"/>
                    <a:pt x="15" y="4"/>
                  </a:cubicBezTo>
                  <a:cubicBezTo>
                    <a:pt x="19" y="5"/>
                    <a:pt x="22" y="6"/>
                    <a:pt x="26" y="6"/>
                  </a:cubicBezTo>
                  <a:cubicBezTo>
                    <a:pt x="30" y="6"/>
                    <a:pt x="36" y="7"/>
                    <a:pt x="39" y="7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161925</xdr:colOff>
      <xdr:row>7</xdr:row>
      <xdr:rowOff>95250</xdr:rowOff>
    </xdr:from>
    <xdr:to>
      <xdr:col>5</xdr:col>
      <xdr:colOff>161925</xdr:colOff>
      <xdr:row>10</xdr:row>
      <xdr:rowOff>9525</xdr:rowOff>
    </xdr:to>
    <xdr:sp>
      <xdr:nvSpPr>
        <xdr:cNvPr id="140" name="Line 610"/>
        <xdr:cNvSpPr>
          <a:spLocks/>
        </xdr:cNvSpPr>
      </xdr:nvSpPr>
      <xdr:spPr>
        <a:xfrm flipH="1">
          <a:off x="1343025" y="1771650"/>
          <a:ext cx="295275" cy="6000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152400</xdr:colOff>
      <xdr:row>7</xdr:row>
      <xdr:rowOff>180975</xdr:rowOff>
    </xdr:from>
    <xdr:to>
      <xdr:col>7</xdr:col>
      <xdr:colOff>47625</xdr:colOff>
      <xdr:row>12</xdr:row>
      <xdr:rowOff>95250</xdr:rowOff>
    </xdr:to>
    <xdr:sp>
      <xdr:nvSpPr>
        <xdr:cNvPr id="141" name="Line 611"/>
        <xdr:cNvSpPr>
          <a:spLocks/>
        </xdr:cNvSpPr>
      </xdr:nvSpPr>
      <xdr:spPr>
        <a:xfrm flipH="1">
          <a:off x="1628775" y="1857375"/>
          <a:ext cx="485775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161925</xdr:colOff>
      <xdr:row>11</xdr:row>
      <xdr:rowOff>47625</xdr:rowOff>
    </xdr:from>
    <xdr:to>
      <xdr:col>7</xdr:col>
      <xdr:colOff>161925</xdr:colOff>
      <xdr:row>12</xdr:row>
      <xdr:rowOff>85725</xdr:rowOff>
    </xdr:to>
    <xdr:sp>
      <xdr:nvSpPr>
        <xdr:cNvPr id="142" name="Line 612"/>
        <xdr:cNvSpPr>
          <a:spLocks/>
        </xdr:cNvSpPr>
      </xdr:nvSpPr>
      <xdr:spPr>
        <a:xfrm>
          <a:off x="2228850" y="26384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104775</xdr:colOff>
      <xdr:row>11</xdr:row>
      <xdr:rowOff>38100</xdr:rowOff>
    </xdr:from>
    <xdr:to>
      <xdr:col>12</xdr:col>
      <xdr:colOff>104775</xdr:colOff>
      <xdr:row>12</xdr:row>
      <xdr:rowOff>95250</xdr:rowOff>
    </xdr:to>
    <xdr:sp>
      <xdr:nvSpPr>
        <xdr:cNvPr id="143" name="Line 613"/>
        <xdr:cNvSpPr>
          <a:spLocks/>
        </xdr:cNvSpPr>
      </xdr:nvSpPr>
      <xdr:spPr>
        <a:xfrm>
          <a:off x="3648075" y="2628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228600</xdr:colOff>
      <xdr:row>12</xdr:row>
      <xdr:rowOff>57150</xdr:rowOff>
    </xdr:from>
    <xdr:to>
      <xdr:col>14</xdr:col>
      <xdr:colOff>0</xdr:colOff>
      <xdr:row>12</xdr:row>
      <xdr:rowOff>76200</xdr:rowOff>
    </xdr:to>
    <xdr:grpSp>
      <xdr:nvGrpSpPr>
        <xdr:cNvPr id="144" name="Group 614"/>
        <xdr:cNvGrpSpPr>
          <a:grpSpLocks/>
        </xdr:cNvGrpSpPr>
      </xdr:nvGrpSpPr>
      <xdr:grpSpPr>
        <a:xfrm>
          <a:off x="1704975" y="2876550"/>
          <a:ext cx="2428875" cy="19050"/>
          <a:chOff x="125" y="349"/>
          <a:chExt cx="206" cy="2"/>
        </a:xfrm>
        <a:solidFill>
          <a:srgbClr val="FFFFFF"/>
        </a:solidFill>
      </xdr:grpSpPr>
      <xdr:sp>
        <xdr:nvSpPr>
          <xdr:cNvPr id="145" name="Line 615"/>
          <xdr:cNvSpPr>
            <a:spLocks/>
          </xdr:cNvSpPr>
        </xdr:nvSpPr>
        <xdr:spPr>
          <a:xfrm>
            <a:off x="125" y="349"/>
            <a:ext cx="2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6" name="Line 616"/>
          <xdr:cNvSpPr>
            <a:spLocks/>
          </xdr:cNvSpPr>
        </xdr:nvSpPr>
        <xdr:spPr>
          <a:xfrm>
            <a:off x="15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7" name="Line 617"/>
          <xdr:cNvSpPr>
            <a:spLocks/>
          </xdr:cNvSpPr>
        </xdr:nvSpPr>
        <xdr:spPr>
          <a:xfrm>
            <a:off x="17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8" name="Line 618"/>
          <xdr:cNvSpPr>
            <a:spLocks/>
          </xdr:cNvSpPr>
        </xdr:nvSpPr>
        <xdr:spPr>
          <a:xfrm>
            <a:off x="20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9" name="Line 619"/>
          <xdr:cNvSpPr>
            <a:spLocks/>
          </xdr:cNvSpPr>
        </xdr:nvSpPr>
        <xdr:spPr>
          <a:xfrm>
            <a:off x="22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0" name="Line 620"/>
          <xdr:cNvSpPr>
            <a:spLocks/>
          </xdr:cNvSpPr>
        </xdr:nvSpPr>
        <xdr:spPr>
          <a:xfrm>
            <a:off x="25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1" name="Line 621"/>
          <xdr:cNvSpPr>
            <a:spLocks/>
          </xdr:cNvSpPr>
        </xdr:nvSpPr>
        <xdr:spPr>
          <a:xfrm>
            <a:off x="27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2" name="Line 622"/>
          <xdr:cNvSpPr>
            <a:spLocks/>
          </xdr:cNvSpPr>
        </xdr:nvSpPr>
        <xdr:spPr>
          <a:xfrm>
            <a:off x="300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3" name="Line 623"/>
          <xdr:cNvSpPr>
            <a:spLocks/>
          </xdr:cNvSpPr>
        </xdr:nvSpPr>
        <xdr:spPr>
          <a:xfrm>
            <a:off x="325" y="349"/>
            <a:ext cx="0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6</xdr:row>
      <xdr:rowOff>95250</xdr:rowOff>
    </xdr:from>
    <xdr:to>
      <xdr:col>14</xdr:col>
      <xdr:colOff>38100</xdr:colOff>
      <xdr:row>13</xdr:row>
      <xdr:rowOff>161925</xdr:rowOff>
    </xdr:to>
    <xdr:grpSp>
      <xdr:nvGrpSpPr>
        <xdr:cNvPr id="154" name="Group 624"/>
        <xdr:cNvGrpSpPr>
          <a:grpSpLocks/>
        </xdr:cNvGrpSpPr>
      </xdr:nvGrpSpPr>
      <xdr:grpSpPr>
        <a:xfrm>
          <a:off x="4086225" y="1543050"/>
          <a:ext cx="85725" cy="1666875"/>
          <a:chOff x="823" y="48"/>
          <a:chExt cx="27" cy="360"/>
        </a:xfrm>
        <a:solidFill>
          <a:srgbClr val="FFFFFF"/>
        </a:solidFill>
      </xdr:grpSpPr>
      <xdr:sp>
        <xdr:nvSpPr>
          <xdr:cNvPr id="155" name="Line 625"/>
          <xdr:cNvSpPr>
            <a:spLocks/>
          </xdr:cNvSpPr>
        </xdr:nvSpPr>
        <xdr:spPr>
          <a:xfrm flipH="1">
            <a:off x="837" y="48"/>
            <a:ext cx="0" cy="17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6" name="Line 626"/>
          <xdr:cNvSpPr>
            <a:spLocks/>
          </xdr:cNvSpPr>
        </xdr:nvSpPr>
        <xdr:spPr>
          <a:xfrm flipH="1">
            <a:off x="823" y="226"/>
            <a:ext cx="14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7" name="Line 627"/>
          <xdr:cNvSpPr>
            <a:spLocks/>
          </xdr:cNvSpPr>
        </xdr:nvSpPr>
        <xdr:spPr>
          <a:xfrm flipH="1">
            <a:off x="823" y="232"/>
            <a:ext cx="2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8" name="Line 628"/>
          <xdr:cNvSpPr>
            <a:spLocks/>
          </xdr:cNvSpPr>
        </xdr:nvSpPr>
        <xdr:spPr>
          <a:xfrm flipH="1">
            <a:off x="837" y="232"/>
            <a:ext cx="13" cy="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9" name="Line 629"/>
          <xdr:cNvSpPr>
            <a:spLocks/>
          </xdr:cNvSpPr>
        </xdr:nvSpPr>
        <xdr:spPr>
          <a:xfrm flipH="1">
            <a:off x="837" y="239"/>
            <a:ext cx="0" cy="16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5</xdr:col>
      <xdr:colOff>142875</xdr:colOff>
      <xdr:row>6</xdr:row>
      <xdr:rowOff>152400</xdr:rowOff>
    </xdr:from>
    <xdr:to>
      <xdr:col>6</xdr:col>
      <xdr:colOff>190500</xdr:colOff>
      <xdr:row>7</xdr:row>
      <xdr:rowOff>104775</xdr:rowOff>
    </xdr:to>
    <xdr:grpSp>
      <xdr:nvGrpSpPr>
        <xdr:cNvPr id="160" name="Group 633"/>
        <xdr:cNvGrpSpPr>
          <a:grpSpLocks/>
        </xdr:cNvGrpSpPr>
      </xdr:nvGrpSpPr>
      <xdr:grpSpPr>
        <a:xfrm flipH="1">
          <a:off x="1619250" y="1600200"/>
          <a:ext cx="342900" cy="180975"/>
          <a:chOff x="616" y="147"/>
          <a:chExt cx="32" cy="21"/>
        </a:xfrm>
        <a:solidFill>
          <a:srgbClr val="FFFFFF"/>
        </a:solidFill>
      </xdr:grpSpPr>
      <xdr:sp>
        <xdr:nvSpPr>
          <xdr:cNvPr id="161" name="AutoShape 634"/>
          <xdr:cNvSpPr>
            <a:spLocks/>
          </xdr:cNvSpPr>
        </xdr:nvSpPr>
        <xdr:spPr>
          <a:xfrm>
            <a:off x="616" y="147"/>
            <a:ext cx="25" cy="20"/>
          </a:xfrm>
          <a:custGeom>
            <a:pathLst>
              <a:path h="20" w="25">
                <a:moveTo>
                  <a:pt x="25" y="20"/>
                </a:moveTo>
                <a:lnTo>
                  <a:pt x="25" y="0"/>
                </a:lnTo>
                <a:lnTo>
                  <a:pt x="0" y="0"/>
                </a:lnTo>
                <a:lnTo>
                  <a:pt x="0" y="1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2" name="Oval 635"/>
          <xdr:cNvSpPr>
            <a:spLocks/>
          </xdr:cNvSpPr>
        </xdr:nvSpPr>
        <xdr:spPr>
          <a:xfrm flipH="1">
            <a:off x="642" y="162"/>
            <a:ext cx="6" cy="6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21</xdr:col>
      <xdr:colOff>257175</xdr:colOff>
      <xdr:row>6</xdr:row>
      <xdr:rowOff>142875</xdr:rowOff>
    </xdr:from>
    <xdr:to>
      <xdr:col>23</xdr:col>
      <xdr:colOff>9525</xdr:colOff>
      <xdr:row>7</xdr:row>
      <xdr:rowOff>95250</xdr:rowOff>
    </xdr:to>
    <xdr:grpSp>
      <xdr:nvGrpSpPr>
        <xdr:cNvPr id="163" name="Group 636"/>
        <xdr:cNvGrpSpPr>
          <a:grpSpLocks/>
        </xdr:cNvGrpSpPr>
      </xdr:nvGrpSpPr>
      <xdr:grpSpPr>
        <a:xfrm>
          <a:off x="6457950" y="1590675"/>
          <a:ext cx="342900" cy="180975"/>
          <a:chOff x="616" y="147"/>
          <a:chExt cx="32" cy="21"/>
        </a:xfrm>
        <a:solidFill>
          <a:srgbClr val="FFFFFF"/>
        </a:solidFill>
      </xdr:grpSpPr>
      <xdr:sp>
        <xdr:nvSpPr>
          <xdr:cNvPr id="164" name="AutoShape 637"/>
          <xdr:cNvSpPr>
            <a:spLocks/>
          </xdr:cNvSpPr>
        </xdr:nvSpPr>
        <xdr:spPr>
          <a:xfrm>
            <a:off x="616" y="147"/>
            <a:ext cx="25" cy="20"/>
          </a:xfrm>
          <a:custGeom>
            <a:pathLst>
              <a:path h="20" w="25">
                <a:moveTo>
                  <a:pt x="25" y="20"/>
                </a:moveTo>
                <a:lnTo>
                  <a:pt x="25" y="0"/>
                </a:lnTo>
                <a:lnTo>
                  <a:pt x="0" y="0"/>
                </a:lnTo>
                <a:lnTo>
                  <a:pt x="0" y="1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5" name="Oval 638"/>
          <xdr:cNvSpPr>
            <a:spLocks/>
          </xdr:cNvSpPr>
        </xdr:nvSpPr>
        <xdr:spPr>
          <a:xfrm flipH="1">
            <a:off x="642" y="162"/>
            <a:ext cx="6" cy="6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133350</xdr:rowOff>
    </xdr:from>
    <xdr:to>
      <xdr:col>20</xdr:col>
      <xdr:colOff>9525</xdr:colOff>
      <xdr:row>12</xdr:row>
      <xdr:rowOff>9525</xdr:rowOff>
    </xdr:to>
    <xdr:grpSp>
      <xdr:nvGrpSpPr>
        <xdr:cNvPr id="1" name="Group 94"/>
        <xdr:cNvGrpSpPr>
          <a:grpSpLocks/>
        </xdr:cNvGrpSpPr>
      </xdr:nvGrpSpPr>
      <xdr:grpSpPr>
        <a:xfrm>
          <a:off x="2019300" y="590550"/>
          <a:ext cx="4038600" cy="2162175"/>
          <a:chOff x="171" y="62"/>
          <a:chExt cx="330" cy="227"/>
        </a:xfrm>
        <a:solidFill>
          <a:srgbClr val="FFFFFF"/>
        </a:solidFill>
      </xdr:grpSpPr>
      <xdr:sp>
        <xdr:nvSpPr>
          <xdr:cNvPr id="2" name="Oval 18"/>
          <xdr:cNvSpPr>
            <a:spLocks/>
          </xdr:cNvSpPr>
        </xdr:nvSpPr>
        <xdr:spPr>
          <a:xfrm>
            <a:off x="195" y="139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33"/>
          <xdr:cNvSpPr>
            <a:spLocks/>
          </xdr:cNvSpPr>
        </xdr:nvSpPr>
        <xdr:spPr>
          <a:xfrm>
            <a:off x="200" y="152"/>
            <a:ext cx="0" cy="6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34"/>
          <xdr:cNvSpPr>
            <a:spLocks/>
          </xdr:cNvSpPr>
        </xdr:nvSpPr>
        <xdr:spPr>
          <a:xfrm>
            <a:off x="450" y="152"/>
            <a:ext cx="0" cy="6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35"/>
          <xdr:cNvSpPr>
            <a:spLocks/>
          </xdr:cNvSpPr>
        </xdr:nvSpPr>
        <xdr:spPr>
          <a:xfrm>
            <a:off x="200" y="216"/>
            <a:ext cx="250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utoShape 58"/>
          <xdr:cNvSpPr>
            <a:spLocks/>
          </xdr:cNvSpPr>
        </xdr:nvSpPr>
        <xdr:spPr>
          <a:xfrm rot="5400000" flipH="1">
            <a:off x="320" y="-19"/>
            <a:ext cx="10" cy="309"/>
          </a:xfrm>
          <a:prstGeom prst="can">
            <a:avLst>
              <a:gd name="adj" fmla="val -47717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Oval 59"/>
          <xdr:cNvSpPr>
            <a:spLocks/>
          </xdr:cNvSpPr>
        </xdr:nvSpPr>
        <xdr:spPr>
          <a:xfrm>
            <a:off x="445" y="139"/>
            <a:ext cx="10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Rectangle 68"/>
          <xdr:cNvSpPr>
            <a:spLocks/>
          </xdr:cNvSpPr>
        </xdr:nvSpPr>
        <xdr:spPr>
          <a:xfrm>
            <a:off x="177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Rectangle 69"/>
          <xdr:cNvSpPr>
            <a:spLocks/>
          </xdr:cNvSpPr>
        </xdr:nvSpPr>
        <xdr:spPr>
          <a:xfrm>
            <a:off x="207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Rectangle 70"/>
          <xdr:cNvSpPr>
            <a:spLocks/>
          </xdr:cNvSpPr>
        </xdr:nvSpPr>
        <xdr:spPr>
          <a:xfrm>
            <a:off x="237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Rectangle 71"/>
          <xdr:cNvSpPr>
            <a:spLocks/>
          </xdr:cNvSpPr>
        </xdr:nvSpPr>
        <xdr:spPr>
          <a:xfrm>
            <a:off x="267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Rectangle 72"/>
          <xdr:cNvSpPr>
            <a:spLocks/>
          </xdr:cNvSpPr>
        </xdr:nvSpPr>
        <xdr:spPr>
          <a:xfrm>
            <a:off x="297" y="124"/>
            <a:ext cx="28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Rectangle 73"/>
          <xdr:cNvSpPr>
            <a:spLocks/>
          </xdr:cNvSpPr>
        </xdr:nvSpPr>
        <xdr:spPr>
          <a:xfrm>
            <a:off x="325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Rectangle 74"/>
          <xdr:cNvSpPr>
            <a:spLocks/>
          </xdr:cNvSpPr>
        </xdr:nvSpPr>
        <xdr:spPr>
          <a:xfrm>
            <a:off x="355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Rectangle 75"/>
          <xdr:cNvSpPr>
            <a:spLocks/>
          </xdr:cNvSpPr>
        </xdr:nvSpPr>
        <xdr:spPr>
          <a:xfrm>
            <a:off x="385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Rectangle 76"/>
          <xdr:cNvSpPr>
            <a:spLocks/>
          </xdr:cNvSpPr>
        </xdr:nvSpPr>
        <xdr:spPr>
          <a:xfrm>
            <a:off x="415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Rectangle 77"/>
          <xdr:cNvSpPr>
            <a:spLocks/>
          </xdr:cNvSpPr>
        </xdr:nvSpPr>
        <xdr:spPr>
          <a:xfrm>
            <a:off x="445" y="124"/>
            <a:ext cx="30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Rectangle 80"/>
          <xdr:cNvSpPr>
            <a:spLocks/>
          </xdr:cNvSpPr>
        </xdr:nvSpPr>
        <xdr:spPr>
          <a:xfrm>
            <a:off x="200" y="100"/>
            <a:ext cx="250" cy="2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81"/>
          <xdr:cNvSpPr>
            <a:spLocks/>
          </xdr:cNvSpPr>
        </xdr:nvSpPr>
        <xdr:spPr>
          <a:xfrm>
            <a:off x="325" y="75"/>
            <a:ext cx="0" cy="4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82"/>
          <xdr:cNvSpPr>
            <a:spLocks/>
          </xdr:cNvSpPr>
        </xdr:nvSpPr>
        <xdr:spPr>
          <a:xfrm>
            <a:off x="400" y="100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utoShape 85"/>
          <xdr:cNvSpPr>
            <a:spLocks/>
          </xdr:cNvSpPr>
        </xdr:nvSpPr>
        <xdr:spPr>
          <a:xfrm rot="5400000" flipH="1">
            <a:off x="316" y="148"/>
            <a:ext cx="43" cy="25"/>
          </a:xfrm>
          <a:prstGeom prst="curvedConnector3">
            <a:avLst>
              <a:gd name="adj1" fmla="val -46879"/>
              <a:gd name="adj2" fmla="val 1534000"/>
              <a:gd name="adj3" fmla="val -736046"/>
            </a:avLst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90"/>
          <xdr:cNvSpPr>
            <a:spLocks/>
          </xdr:cNvSpPr>
        </xdr:nvSpPr>
        <xdr:spPr>
          <a:xfrm>
            <a:off x="225" y="72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91"/>
          <xdr:cNvSpPr>
            <a:spLocks/>
          </xdr:cNvSpPr>
        </xdr:nvSpPr>
        <xdr:spPr>
          <a:xfrm flipH="1">
            <a:off x="400" y="62"/>
            <a:ext cx="50" cy="37"/>
          </a:xfrm>
          <a:prstGeom prst="arc">
            <a:avLst/>
          </a:prstGeom>
          <a:noFill/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92"/>
          <xdr:cNvSpPr>
            <a:spLocks/>
          </xdr:cNvSpPr>
        </xdr:nvSpPr>
        <xdr:spPr>
          <a:xfrm>
            <a:off x="275" y="72"/>
            <a:ext cx="25" cy="5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AutoShape 93"/>
          <xdr:cNvSpPr>
            <a:spLocks/>
          </xdr:cNvSpPr>
        </xdr:nvSpPr>
        <xdr:spPr>
          <a:xfrm rot="10800000">
            <a:off x="455" y="144"/>
            <a:ext cx="46" cy="34"/>
          </a:xfrm>
          <a:prstGeom prst="curvedConnector3">
            <a:avLst>
              <a:gd name="adj1" fmla="val 0"/>
              <a:gd name="adj2" fmla="val -1279412"/>
              <a:gd name="adj3" fmla="val -1030435"/>
            </a:avLst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26</xdr:col>
      <xdr:colOff>0</xdr:colOff>
      <xdr:row>21</xdr:row>
      <xdr:rowOff>0</xdr:rowOff>
    </xdr:to>
    <xdr:grpSp>
      <xdr:nvGrpSpPr>
        <xdr:cNvPr id="1" name="Group 520"/>
        <xdr:cNvGrpSpPr>
          <a:grpSpLocks/>
        </xdr:cNvGrpSpPr>
      </xdr:nvGrpSpPr>
      <xdr:grpSpPr>
        <a:xfrm>
          <a:off x="2362200" y="1371600"/>
          <a:ext cx="5657850" cy="3429000"/>
          <a:chOff x="200" y="144"/>
          <a:chExt cx="450" cy="360"/>
        </a:xfrm>
        <a:solidFill>
          <a:srgbClr val="FFFFFF"/>
        </a:solidFill>
      </xdr:grpSpPr>
      <xdr:sp>
        <xdr:nvSpPr>
          <xdr:cNvPr id="2" name="Rectangle 164"/>
          <xdr:cNvSpPr>
            <a:spLocks/>
          </xdr:cNvSpPr>
        </xdr:nvSpPr>
        <xdr:spPr>
          <a:xfrm>
            <a:off x="364" y="275"/>
            <a:ext cx="75" cy="122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grpSp>
        <xdr:nvGrpSpPr>
          <xdr:cNvPr id="3" name="Group 51"/>
          <xdr:cNvGrpSpPr>
            <a:grpSpLocks/>
          </xdr:cNvGrpSpPr>
        </xdr:nvGrpSpPr>
        <xdr:grpSpPr>
          <a:xfrm>
            <a:off x="285" y="333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4" name="Line 52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Line 53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" name="Group 54"/>
          <xdr:cNvGrpSpPr>
            <a:grpSpLocks/>
          </xdr:cNvGrpSpPr>
        </xdr:nvGrpSpPr>
        <xdr:grpSpPr>
          <a:xfrm>
            <a:off x="285" y="453"/>
            <a:ext cx="229" cy="6"/>
            <a:chOff x="-962" y="-7214286"/>
            <a:chExt cx="19780" cy="1332"/>
          </a:xfrm>
          <a:solidFill>
            <a:srgbClr val="FFFFFF"/>
          </a:solidFill>
        </xdr:grpSpPr>
        <xdr:sp>
          <xdr:nvSpPr>
            <xdr:cNvPr id="7" name="Line 55"/>
            <xdr:cNvSpPr>
              <a:spLocks/>
            </xdr:cNvSpPr>
          </xdr:nvSpPr>
          <xdr:spPr>
            <a:xfrm>
              <a:off x="-962" y="-7214286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8" name="Line 56"/>
            <xdr:cNvSpPr>
              <a:spLocks/>
            </xdr:cNvSpPr>
          </xdr:nvSpPr>
          <xdr:spPr>
            <a:xfrm>
              <a:off x="-962" y="-7212954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9" name="Line 70"/>
          <xdr:cNvSpPr>
            <a:spLocks/>
          </xdr:cNvSpPr>
        </xdr:nvSpPr>
        <xdr:spPr>
          <a:xfrm>
            <a:off x="402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71"/>
          <xdr:cNvSpPr>
            <a:spLocks/>
          </xdr:cNvSpPr>
        </xdr:nvSpPr>
        <xdr:spPr>
          <a:xfrm>
            <a:off x="399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1" name="Group 89"/>
          <xdr:cNvGrpSpPr>
            <a:grpSpLocks/>
          </xdr:cNvGrpSpPr>
        </xdr:nvGrpSpPr>
        <xdr:grpSpPr>
          <a:xfrm>
            <a:off x="320" y="211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12" name="Line 90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3" name="Line 91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14" name="Line 131"/>
          <xdr:cNvSpPr>
            <a:spLocks/>
          </xdr:cNvSpPr>
        </xdr:nvSpPr>
        <xdr:spPr>
          <a:xfrm>
            <a:off x="538" y="216"/>
            <a:ext cx="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32"/>
          <xdr:cNvSpPr>
            <a:spLocks/>
          </xdr:cNvSpPr>
        </xdr:nvSpPr>
        <xdr:spPr>
          <a:xfrm>
            <a:off x="535" y="336"/>
            <a:ext cx="6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135"/>
          <xdr:cNvSpPr>
            <a:spLocks/>
          </xdr:cNvSpPr>
        </xdr:nvSpPr>
        <xdr:spPr>
          <a:xfrm>
            <a:off x="325" y="144"/>
            <a:ext cx="0" cy="5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136"/>
          <xdr:cNvSpPr>
            <a:spLocks/>
          </xdr:cNvSpPr>
        </xdr:nvSpPr>
        <xdr:spPr>
          <a:xfrm>
            <a:off x="475" y="144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159"/>
          <xdr:cNvSpPr>
            <a:spLocks/>
          </xdr:cNvSpPr>
        </xdr:nvSpPr>
        <xdr:spPr>
          <a:xfrm flipH="1" flipV="1">
            <a:off x="475" y="459"/>
            <a:ext cx="31" cy="4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60"/>
          <xdr:cNvSpPr>
            <a:spLocks/>
          </xdr:cNvSpPr>
        </xdr:nvSpPr>
        <xdr:spPr>
          <a:xfrm>
            <a:off x="506" y="504"/>
            <a:ext cx="14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162"/>
          <xdr:cNvSpPr>
            <a:spLocks/>
          </xdr:cNvSpPr>
        </xdr:nvSpPr>
        <xdr:spPr>
          <a:xfrm>
            <a:off x="250" y="271"/>
            <a:ext cx="34" cy="6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163"/>
          <xdr:cNvSpPr>
            <a:spLocks/>
          </xdr:cNvSpPr>
        </xdr:nvSpPr>
        <xdr:spPr>
          <a:xfrm>
            <a:off x="200" y="271"/>
            <a:ext cx="50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43"/>
          <xdr:cNvSpPr>
            <a:spLocks/>
          </xdr:cNvSpPr>
        </xdr:nvSpPr>
        <xdr:spPr>
          <a:xfrm>
            <a:off x="325" y="144"/>
            <a:ext cx="7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3" name="Group 244"/>
          <xdr:cNvGrpSpPr>
            <a:grpSpLocks/>
          </xdr:cNvGrpSpPr>
        </xdr:nvGrpSpPr>
        <xdr:grpSpPr>
          <a:xfrm>
            <a:off x="468" y="211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24" name="Line 245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5" name="Line 246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6" name="Group 277"/>
          <xdr:cNvGrpSpPr>
            <a:grpSpLocks/>
          </xdr:cNvGrpSpPr>
        </xdr:nvGrpSpPr>
        <xdr:grpSpPr>
          <a:xfrm>
            <a:off x="318" y="329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27" name="Line 278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8" name="Line 279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9" name="Group 280"/>
          <xdr:cNvGrpSpPr>
            <a:grpSpLocks/>
          </xdr:cNvGrpSpPr>
        </xdr:nvGrpSpPr>
        <xdr:grpSpPr>
          <a:xfrm>
            <a:off x="317" y="450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30" name="Line 281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1" name="Line 282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2" name="Group 298"/>
          <xdr:cNvGrpSpPr>
            <a:grpSpLocks/>
          </xdr:cNvGrpSpPr>
        </xdr:nvGrpSpPr>
        <xdr:grpSpPr>
          <a:xfrm>
            <a:off x="468" y="330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33" name="Line 299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4" name="Line 300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5" name="Group 301"/>
          <xdr:cNvGrpSpPr>
            <a:grpSpLocks/>
          </xdr:cNvGrpSpPr>
        </xdr:nvGrpSpPr>
        <xdr:grpSpPr>
          <a:xfrm>
            <a:off x="468" y="450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36" name="Line 302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7" name="Line 303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8" name="Group 392"/>
          <xdr:cNvGrpSpPr>
            <a:grpSpLocks/>
          </xdr:cNvGrpSpPr>
        </xdr:nvGrpSpPr>
        <xdr:grpSpPr>
          <a:xfrm>
            <a:off x="300" y="341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39" name="Line 393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0" name="Line 394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1" name="Line 395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2" name="Group 396"/>
          <xdr:cNvGrpSpPr>
            <a:grpSpLocks/>
          </xdr:cNvGrpSpPr>
        </xdr:nvGrpSpPr>
        <xdr:grpSpPr>
          <a:xfrm>
            <a:off x="300" y="382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43" name="Line 397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4" name="Line 398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5" name="Line 399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6" name="Group 400"/>
          <xdr:cNvGrpSpPr>
            <a:grpSpLocks/>
          </xdr:cNvGrpSpPr>
        </xdr:nvGrpSpPr>
        <xdr:grpSpPr>
          <a:xfrm>
            <a:off x="300" y="423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47" name="Line 401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8" name="Line 402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Line 403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50" name="Line 406"/>
          <xdr:cNvSpPr>
            <a:spLocks/>
          </xdr:cNvSpPr>
        </xdr:nvSpPr>
        <xdr:spPr>
          <a:xfrm>
            <a:off x="600" y="288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407"/>
          <xdr:cNvSpPr>
            <a:spLocks/>
          </xdr:cNvSpPr>
        </xdr:nvSpPr>
        <xdr:spPr>
          <a:xfrm>
            <a:off x="600" y="216"/>
            <a:ext cx="0" cy="7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52" name="Group 490"/>
          <xdr:cNvGrpSpPr>
            <a:grpSpLocks/>
          </xdr:cNvGrpSpPr>
        </xdr:nvGrpSpPr>
        <xdr:grpSpPr>
          <a:xfrm>
            <a:off x="285" y="213"/>
            <a:ext cx="227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53" name="Line 491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4" name="Line 492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55" name="Line 493"/>
          <xdr:cNvSpPr>
            <a:spLocks/>
          </xdr:cNvSpPr>
        </xdr:nvSpPr>
        <xdr:spPr>
          <a:xfrm>
            <a:off x="327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494"/>
          <xdr:cNvSpPr>
            <a:spLocks/>
          </xdr:cNvSpPr>
        </xdr:nvSpPr>
        <xdr:spPr>
          <a:xfrm>
            <a:off x="324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Line 495"/>
          <xdr:cNvSpPr>
            <a:spLocks/>
          </xdr:cNvSpPr>
        </xdr:nvSpPr>
        <xdr:spPr>
          <a:xfrm>
            <a:off x="477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Line 496"/>
          <xdr:cNvSpPr>
            <a:spLocks/>
          </xdr:cNvSpPr>
        </xdr:nvSpPr>
        <xdr:spPr>
          <a:xfrm>
            <a:off x="474" y="203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59" name="Group 497"/>
          <xdr:cNvGrpSpPr>
            <a:grpSpLocks/>
          </xdr:cNvGrpSpPr>
        </xdr:nvGrpSpPr>
        <xdr:grpSpPr>
          <a:xfrm>
            <a:off x="300" y="221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60" name="Line 498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1" name="Line 499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2" name="Line 500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3" name="Group 501"/>
          <xdr:cNvGrpSpPr>
            <a:grpSpLocks/>
          </xdr:cNvGrpSpPr>
        </xdr:nvGrpSpPr>
        <xdr:grpSpPr>
          <a:xfrm>
            <a:off x="300" y="262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64" name="Line 502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5" name="Line 503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6" name="Line 504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7" name="Group 505"/>
          <xdr:cNvGrpSpPr>
            <a:grpSpLocks/>
          </xdr:cNvGrpSpPr>
        </xdr:nvGrpSpPr>
        <xdr:grpSpPr>
          <a:xfrm>
            <a:off x="300" y="303"/>
            <a:ext cx="200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68" name="Line 506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9" name="Line 507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70" name="Line 508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71" name="Line 509"/>
          <xdr:cNvSpPr>
            <a:spLocks/>
          </xdr:cNvSpPr>
        </xdr:nvSpPr>
        <xdr:spPr>
          <a:xfrm flipH="1">
            <a:off x="402" y="312"/>
            <a:ext cx="37" cy="2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510"/>
          <xdr:cNvSpPr>
            <a:spLocks/>
          </xdr:cNvSpPr>
        </xdr:nvSpPr>
        <xdr:spPr>
          <a:xfrm>
            <a:off x="400" y="144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511"/>
          <xdr:cNvSpPr>
            <a:spLocks/>
          </xdr:cNvSpPr>
        </xdr:nvSpPr>
        <xdr:spPr>
          <a:xfrm>
            <a:off x="400" y="144"/>
            <a:ext cx="7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512"/>
          <xdr:cNvSpPr>
            <a:spLocks/>
          </xdr:cNvSpPr>
        </xdr:nvSpPr>
        <xdr:spPr>
          <a:xfrm flipH="1">
            <a:off x="478" y="168"/>
            <a:ext cx="47" cy="3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514"/>
          <xdr:cNvSpPr>
            <a:spLocks/>
          </xdr:cNvSpPr>
        </xdr:nvSpPr>
        <xdr:spPr>
          <a:xfrm>
            <a:off x="538" y="336"/>
            <a:ext cx="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515"/>
          <xdr:cNvSpPr>
            <a:spLocks/>
          </xdr:cNvSpPr>
        </xdr:nvSpPr>
        <xdr:spPr>
          <a:xfrm>
            <a:off x="535" y="456"/>
            <a:ext cx="6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516"/>
          <xdr:cNvSpPr>
            <a:spLocks/>
          </xdr:cNvSpPr>
        </xdr:nvSpPr>
        <xdr:spPr>
          <a:xfrm>
            <a:off x="600" y="408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517"/>
          <xdr:cNvSpPr>
            <a:spLocks/>
          </xdr:cNvSpPr>
        </xdr:nvSpPr>
        <xdr:spPr>
          <a:xfrm>
            <a:off x="600" y="336"/>
            <a:ext cx="0" cy="7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518"/>
          <xdr:cNvSpPr>
            <a:spLocks/>
          </xdr:cNvSpPr>
        </xdr:nvSpPr>
        <xdr:spPr>
          <a:xfrm flipH="1">
            <a:off x="525" y="168"/>
            <a:ext cx="7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0</xdr:rowOff>
    </xdr:from>
    <xdr:to>
      <xdr:col>26</xdr:col>
      <xdr:colOff>285750</xdr:colOff>
      <xdr:row>29</xdr:row>
      <xdr:rowOff>0</xdr:rowOff>
    </xdr:to>
    <xdr:grpSp>
      <xdr:nvGrpSpPr>
        <xdr:cNvPr id="1" name="Group 466"/>
        <xdr:cNvGrpSpPr>
          <a:grpSpLocks/>
        </xdr:cNvGrpSpPr>
      </xdr:nvGrpSpPr>
      <xdr:grpSpPr>
        <a:xfrm>
          <a:off x="1771650" y="2971800"/>
          <a:ext cx="6210300" cy="3657600"/>
          <a:chOff x="150" y="312"/>
          <a:chExt cx="526" cy="384"/>
        </a:xfrm>
        <a:solidFill>
          <a:srgbClr val="FFFFFF"/>
        </a:solidFill>
      </xdr:grpSpPr>
      <xdr:sp>
        <xdr:nvSpPr>
          <xdr:cNvPr id="2" name="Line 424"/>
          <xdr:cNvSpPr>
            <a:spLocks/>
          </xdr:cNvSpPr>
        </xdr:nvSpPr>
        <xdr:spPr>
          <a:xfrm>
            <a:off x="476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Rectangle 368"/>
          <xdr:cNvSpPr>
            <a:spLocks/>
          </xdr:cNvSpPr>
        </xdr:nvSpPr>
        <xdr:spPr>
          <a:xfrm>
            <a:off x="326" y="467"/>
            <a:ext cx="152" cy="122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grpSp>
        <xdr:nvGrpSpPr>
          <xdr:cNvPr id="4" name="Group 369"/>
          <xdr:cNvGrpSpPr>
            <a:grpSpLocks/>
          </xdr:cNvGrpSpPr>
        </xdr:nvGrpSpPr>
        <xdr:grpSpPr>
          <a:xfrm>
            <a:off x="211" y="525"/>
            <a:ext cx="37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5" name="Line 370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" name="Line 371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7" name="Line 375"/>
          <xdr:cNvSpPr>
            <a:spLocks/>
          </xdr:cNvSpPr>
        </xdr:nvSpPr>
        <xdr:spPr>
          <a:xfrm>
            <a:off x="402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376"/>
          <xdr:cNvSpPr>
            <a:spLocks/>
          </xdr:cNvSpPr>
        </xdr:nvSpPr>
        <xdr:spPr>
          <a:xfrm>
            <a:off x="399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Line 380"/>
          <xdr:cNvSpPr>
            <a:spLocks/>
          </xdr:cNvSpPr>
        </xdr:nvSpPr>
        <xdr:spPr>
          <a:xfrm>
            <a:off x="570" y="469"/>
            <a:ext cx="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382"/>
          <xdr:cNvSpPr>
            <a:spLocks/>
          </xdr:cNvSpPr>
        </xdr:nvSpPr>
        <xdr:spPr>
          <a:xfrm>
            <a:off x="325" y="360"/>
            <a:ext cx="0" cy="2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383"/>
          <xdr:cNvSpPr>
            <a:spLocks/>
          </xdr:cNvSpPr>
        </xdr:nvSpPr>
        <xdr:spPr>
          <a:xfrm>
            <a:off x="477" y="360"/>
            <a:ext cx="0" cy="2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384"/>
          <xdr:cNvSpPr>
            <a:spLocks/>
          </xdr:cNvSpPr>
        </xdr:nvSpPr>
        <xdr:spPr>
          <a:xfrm flipH="1" flipV="1">
            <a:off x="477" y="651"/>
            <a:ext cx="31" cy="4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385"/>
          <xdr:cNvSpPr>
            <a:spLocks/>
          </xdr:cNvSpPr>
        </xdr:nvSpPr>
        <xdr:spPr>
          <a:xfrm>
            <a:off x="508" y="696"/>
            <a:ext cx="14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388"/>
          <xdr:cNvSpPr>
            <a:spLocks/>
          </xdr:cNvSpPr>
        </xdr:nvSpPr>
        <xdr:spPr>
          <a:xfrm>
            <a:off x="325" y="360"/>
            <a:ext cx="15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5" name="Group 392"/>
          <xdr:cNvGrpSpPr>
            <a:grpSpLocks/>
          </xdr:cNvGrpSpPr>
        </xdr:nvGrpSpPr>
        <xdr:grpSpPr>
          <a:xfrm>
            <a:off x="243" y="521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16" name="Line 393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7" name="Line 394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18" name="Group 398"/>
          <xdr:cNvGrpSpPr>
            <a:grpSpLocks/>
          </xdr:cNvGrpSpPr>
        </xdr:nvGrpSpPr>
        <xdr:grpSpPr>
          <a:xfrm>
            <a:off x="395" y="522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19" name="Line 399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Line 400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1" name="Group 404"/>
          <xdr:cNvGrpSpPr>
            <a:grpSpLocks/>
          </xdr:cNvGrpSpPr>
        </xdr:nvGrpSpPr>
        <xdr:grpSpPr>
          <a:xfrm>
            <a:off x="233" y="533"/>
            <a:ext cx="338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22" name="Line 405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3" name="Line 406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4" name="Line 407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5" name="Group 408"/>
          <xdr:cNvGrpSpPr>
            <a:grpSpLocks/>
          </xdr:cNvGrpSpPr>
        </xdr:nvGrpSpPr>
        <xdr:grpSpPr>
          <a:xfrm>
            <a:off x="234" y="574"/>
            <a:ext cx="339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26" name="Line 409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7" name="Line 410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8" name="Line 411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9" name="Group 412"/>
          <xdr:cNvGrpSpPr>
            <a:grpSpLocks/>
          </xdr:cNvGrpSpPr>
        </xdr:nvGrpSpPr>
        <xdr:grpSpPr>
          <a:xfrm>
            <a:off x="235" y="615"/>
            <a:ext cx="337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30" name="Line 413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1" name="Line 414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2" name="Line 415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33" name="Line 416"/>
          <xdr:cNvSpPr>
            <a:spLocks/>
          </xdr:cNvSpPr>
        </xdr:nvSpPr>
        <xdr:spPr>
          <a:xfrm>
            <a:off x="632" y="541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417"/>
          <xdr:cNvSpPr>
            <a:spLocks/>
          </xdr:cNvSpPr>
        </xdr:nvSpPr>
        <xdr:spPr>
          <a:xfrm>
            <a:off x="632" y="469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Line 421"/>
          <xdr:cNvSpPr>
            <a:spLocks/>
          </xdr:cNvSpPr>
        </xdr:nvSpPr>
        <xdr:spPr>
          <a:xfrm>
            <a:off x="327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Line 422"/>
          <xdr:cNvSpPr>
            <a:spLocks/>
          </xdr:cNvSpPr>
        </xdr:nvSpPr>
        <xdr:spPr>
          <a:xfrm>
            <a:off x="324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423"/>
          <xdr:cNvSpPr>
            <a:spLocks/>
          </xdr:cNvSpPr>
        </xdr:nvSpPr>
        <xdr:spPr>
          <a:xfrm>
            <a:off x="479" y="395"/>
            <a:ext cx="0" cy="26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8" name="Group 425"/>
          <xdr:cNvGrpSpPr>
            <a:grpSpLocks/>
          </xdr:cNvGrpSpPr>
        </xdr:nvGrpSpPr>
        <xdr:grpSpPr>
          <a:xfrm>
            <a:off x="234" y="413"/>
            <a:ext cx="335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39" name="Line 426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0" name="Line 427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1" name="Line 428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2" name="Group 429"/>
          <xdr:cNvGrpSpPr>
            <a:grpSpLocks/>
          </xdr:cNvGrpSpPr>
        </xdr:nvGrpSpPr>
        <xdr:grpSpPr>
          <a:xfrm>
            <a:off x="234" y="454"/>
            <a:ext cx="337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43" name="Line 430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4" name="Line 431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5" name="Line 432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6" name="Group 433"/>
          <xdr:cNvGrpSpPr>
            <a:grpSpLocks/>
          </xdr:cNvGrpSpPr>
        </xdr:nvGrpSpPr>
        <xdr:grpSpPr>
          <a:xfrm>
            <a:off x="234" y="495"/>
            <a:ext cx="336" cy="28"/>
            <a:chOff x="-12" y="-242019"/>
            <a:chExt cx="19008" cy="252"/>
          </a:xfrm>
          <a:solidFill>
            <a:srgbClr val="FFFFFF"/>
          </a:solidFill>
        </xdr:grpSpPr>
        <xdr:sp>
          <xdr:nvSpPr>
            <xdr:cNvPr id="47" name="Line 434"/>
            <xdr:cNvSpPr>
              <a:spLocks/>
            </xdr:cNvSpPr>
          </xdr:nvSpPr>
          <xdr:spPr>
            <a:xfrm>
              <a:off x="31" y="-241884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8" name="Line 435"/>
            <xdr:cNvSpPr>
              <a:spLocks/>
            </xdr:cNvSpPr>
          </xdr:nvSpPr>
          <xdr:spPr>
            <a:xfrm>
              <a:off x="-12" y="-242019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Line 436"/>
            <xdr:cNvSpPr>
              <a:spLocks/>
            </xdr:cNvSpPr>
          </xdr:nvSpPr>
          <xdr:spPr>
            <a:xfrm>
              <a:off x="31" y="-241767"/>
              <a:ext cx="1896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50" name="Line 437"/>
          <xdr:cNvSpPr>
            <a:spLocks/>
          </xdr:cNvSpPr>
        </xdr:nvSpPr>
        <xdr:spPr>
          <a:xfrm flipH="1">
            <a:off x="402" y="504"/>
            <a:ext cx="38" cy="2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440"/>
          <xdr:cNvSpPr>
            <a:spLocks/>
          </xdr:cNvSpPr>
        </xdr:nvSpPr>
        <xdr:spPr>
          <a:xfrm flipH="1">
            <a:off x="554" y="360"/>
            <a:ext cx="47" cy="3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441"/>
          <xdr:cNvSpPr>
            <a:spLocks/>
          </xdr:cNvSpPr>
        </xdr:nvSpPr>
        <xdr:spPr>
          <a:xfrm>
            <a:off x="570" y="589"/>
            <a:ext cx="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Line 445"/>
          <xdr:cNvSpPr>
            <a:spLocks/>
          </xdr:cNvSpPr>
        </xdr:nvSpPr>
        <xdr:spPr>
          <a:xfrm flipH="1">
            <a:off x="601" y="360"/>
            <a:ext cx="7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54" name="Group 448"/>
          <xdr:cNvGrpSpPr>
            <a:grpSpLocks/>
          </xdr:cNvGrpSpPr>
        </xdr:nvGrpSpPr>
        <xdr:grpSpPr>
          <a:xfrm>
            <a:off x="248" y="396"/>
            <a:ext cx="3" cy="268"/>
            <a:chOff x="248" y="252"/>
            <a:chExt cx="3" cy="268"/>
          </a:xfrm>
          <a:solidFill>
            <a:srgbClr val="FFFFFF"/>
          </a:solidFill>
        </xdr:grpSpPr>
        <xdr:sp>
          <xdr:nvSpPr>
            <xdr:cNvPr id="55" name="Line 446"/>
            <xdr:cNvSpPr>
              <a:spLocks/>
            </xdr:cNvSpPr>
          </xdr:nvSpPr>
          <xdr:spPr>
            <a:xfrm>
              <a:off x="251" y="252"/>
              <a:ext cx="0" cy="26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6" name="Line 447"/>
            <xdr:cNvSpPr>
              <a:spLocks/>
            </xdr:cNvSpPr>
          </xdr:nvSpPr>
          <xdr:spPr>
            <a:xfrm>
              <a:off x="248" y="252"/>
              <a:ext cx="0" cy="26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7" name="Group 449"/>
          <xdr:cNvGrpSpPr>
            <a:grpSpLocks/>
          </xdr:cNvGrpSpPr>
        </xdr:nvGrpSpPr>
        <xdr:grpSpPr>
          <a:xfrm>
            <a:off x="551" y="397"/>
            <a:ext cx="3" cy="268"/>
            <a:chOff x="248" y="252"/>
            <a:chExt cx="3" cy="268"/>
          </a:xfrm>
          <a:solidFill>
            <a:srgbClr val="FFFFFF"/>
          </a:solidFill>
        </xdr:grpSpPr>
        <xdr:sp>
          <xdr:nvSpPr>
            <xdr:cNvPr id="58" name="Line 450"/>
            <xdr:cNvSpPr>
              <a:spLocks/>
            </xdr:cNvSpPr>
          </xdr:nvSpPr>
          <xdr:spPr>
            <a:xfrm>
              <a:off x="251" y="252"/>
              <a:ext cx="0" cy="26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9" name="Line 451"/>
            <xdr:cNvSpPr>
              <a:spLocks/>
            </xdr:cNvSpPr>
          </xdr:nvSpPr>
          <xdr:spPr>
            <a:xfrm>
              <a:off x="248" y="252"/>
              <a:ext cx="0" cy="26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60" name="Group 452"/>
          <xdr:cNvGrpSpPr>
            <a:grpSpLocks/>
          </xdr:cNvGrpSpPr>
        </xdr:nvGrpSpPr>
        <xdr:grpSpPr>
          <a:xfrm>
            <a:off x="546" y="523"/>
            <a:ext cx="12" cy="12"/>
            <a:chOff x="-824" y="-228682"/>
            <a:chExt cx="7400" cy="130"/>
          </a:xfrm>
          <a:solidFill>
            <a:srgbClr val="FFFFFF"/>
          </a:solidFill>
        </xdr:grpSpPr>
        <xdr:sp>
          <xdr:nvSpPr>
            <xdr:cNvPr id="61" name="Line 453"/>
            <xdr:cNvSpPr>
              <a:spLocks/>
            </xdr:cNvSpPr>
          </xdr:nvSpPr>
          <xdr:spPr>
            <a:xfrm flipH="1">
              <a:off x="-824" y="-228682"/>
              <a:ext cx="7400" cy="13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62" name="Line 454"/>
            <xdr:cNvSpPr>
              <a:spLocks/>
            </xdr:cNvSpPr>
          </xdr:nvSpPr>
          <xdr:spPr>
            <a:xfrm>
              <a:off x="-454" y="-228672"/>
              <a:ext cx="7030" cy="1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63" name="Line 455"/>
          <xdr:cNvSpPr>
            <a:spLocks/>
          </xdr:cNvSpPr>
        </xdr:nvSpPr>
        <xdr:spPr>
          <a:xfrm>
            <a:off x="200" y="463"/>
            <a:ext cx="34" cy="6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456"/>
          <xdr:cNvSpPr>
            <a:spLocks/>
          </xdr:cNvSpPr>
        </xdr:nvSpPr>
        <xdr:spPr>
          <a:xfrm>
            <a:off x="150" y="463"/>
            <a:ext cx="50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459"/>
          <xdr:cNvSpPr>
            <a:spLocks/>
          </xdr:cNvSpPr>
        </xdr:nvSpPr>
        <xdr:spPr>
          <a:xfrm>
            <a:off x="250" y="312"/>
            <a:ext cx="0" cy="7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460"/>
          <xdr:cNvSpPr>
            <a:spLocks/>
          </xdr:cNvSpPr>
        </xdr:nvSpPr>
        <xdr:spPr>
          <a:xfrm>
            <a:off x="400" y="312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461"/>
          <xdr:cNvSpPr>
            <a:spLocks/>
          </xdr:cNvSpPr>
        </xdr:nvSpPr>
        <xdr:spPr>
          <a:xfrm>
            <a:off x="552" y="312"/>
            <a:ext cx="0" cy="7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462"/>
          <xdr:cNvSpPr>
            <a:spLocks/>
          </xdr:cNvSpPr>
        </xdr:nvSpPr>
        <xdr:spPr>
          <a:xfrm>
            <a:off x="250" y="312"/>
            <a:ext cx="15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463"/>
          <xdr:cNvSpPr>
            <a:spLocks/>
          </xdr:cNvSpPr>
        </xdr:nvSpPr>
        <xdr:spPr>
          <a:xfrm>
            <a:off x="400" y="312"/>
            <a:ext cx="15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1" name="Line 50"/>
        <xdr:cNvSpPr>
          <a:spLocks/>
        </xdr:cNvSpPr>
      </xdr:nvSpPr>
      <xdr:spPr>
        <a:xfrm flipH="1">
          <a:off x="6477000" y="3657600"/>
          <a:ext cx="2266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27</xdr:col>
      <xdr:colOff>0</xdr:colOff>
      <xdr:row>17</xdr:row>
      <xdr:rowOff>0</xdr:rowOff>
    </xdr:to>
    <xdr:sp>
      <xdr:nvSpPr>
        <xdr:cNvPr id="2" name="Line 51"/>
        <xdr:cNvSpPr>
          <a:spLocks/>
        </xdr:cNvSpPr>
      </xdr:nvSpPr>
      <xdr:spPr>
        <a:xfrm flipH="1">
          <a:off x="6477000" y="3886200"/>
          <a:ext cx="2266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Line 60"/>
        <xdr:cNvSpPr>
          <a:spLocks/>
        </xdr:cNvSpPr>
      </xdr:nvSpPr>
      <xdr:spPr>
        <a:xfrm flipH="1">
          <a:off x="323850" y="914400"/>
          <a:ext cx="1619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26</xdr:col>
      <xdr:colOff>266700</xdr:colOff>
      <xdr:row>22</xdr:row>
      <xdr:rowOff>0</xdr:rowOff>
    </xdr:to>
    <xdr:sp>
      <xdr:nvSpPr>
        <xdr:cNvPr id="4" name="Line 89"/>
        <xdr:cNvSpPr>
          <a:spLocks/>
        </xdr:cNvSpPr>
      </xdr:nvSpPr>
      <xdr:spPr>
        <a:xfrm>
          <a:off x="6477000" y="5029200"/>
          <a:ext cx="2209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133350</xdr:colOff>
      <xdr:row>3</xdr:row>
      <xdr:rowOff>161925</xdr:rowOff>
    </xdr:from>
    <xdr:to>
      <xdr:col>10</xdr:col>
      <xdr:colOff>200025</xdr:colOff>
      <xdr:row>20</xdr:row>
      <xdr:rowOff>161925</xdr:rowOff>
    </xdr:to>
    <xdr:sp>
      <xdr:nvSpPr>
        <xdr:cNvPr id="5" name="Rectangle 90"/>
        <xdr:cNvSpPr>
          <a:spLocks/>
        </xdr:cNvSpPr>
      </xdr:nvSpPr>
      <xdr:spPr>
        <a:xfrm rot="20017606">
          <a:off x="3371850" y="847725"/>
          <a:ext cx="76200" cy="388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0</xdr:rowOff>
    </xdr:from>
    <xdr:to>
      <xdr:col>22</xdr:col>
      <xdr:colOff>133350</xdr:colOff>
      <xdr:row>19</xdr:row>
      <xdr:rowOff>0</xdr:rowOff>
    </xdr:to>
    <xdr:sp>
      <xdr:nvSpPr>
        <xdr:cNvPr id="6" name="Line 8"/>
        <xdr:cNvSpPr>
          <a:spLocks/>
        </xdr:cNvSpPr>
      </xdr:nvSpPr>
      <xdr:spPr>
        <a:xfrm>
          <a:off x="4257675" y="4343400"/>
          <a:ext cx="300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57150</xdr:rowOff>
    </xdr:from>
    <xdr:to>
      <xdr:col>23</xdr:col>
      <xdr:colOff>152400</xdr:colOff>
      <xdr:row>19</xdr:row>
      <xdr:rowOff>57150</xdr:rowOff>
    </xdr:to>
    <xdr:sp>
      <xdr:nvSpPr>
        <xdr:cNvPr id="7" name="Line 9"/>
        <xdr:cNvSpPr>
          <a:spLocks/>
        </xdr:cNvSpPr>
      </xdr:nvSpPr>
      <xdr:spPr>
        <a:xfrm flipV="1">
          <a:off x="4257675" y="4400550"/>
          <a:ext cx="334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0</xdr:rowOff>
    </xdr:from>
    <xdr:to>
      <xdr:col>13</xdr:col>
      <xdr:colOff>47625</xdr:colOff>
      <xdr:row>19</xdr:row>
      <xdr:rowOff>57150</xdr:rowOff>
    </xdr:to>
    <xdr:sp>
      <xdr:nvSpPr>
        <xdr:cNvPr id="8" name="Line 10"/>
        <xdr:cNvSpPr>
          <a:spLocks/>
        </xdr:cNvSpPr>
      </xdr:nvSpPr>
      <xdr:spPr>
        <a:xfrm>
          <a:off x="4257675" y="434340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200025</xdr:colOff>
      <xdr:row>18</xdr:row>
      <xdr:rowOff>152400</xdr:rowOff>
    </xdr:from>
    <xdr:to>
      <xdr:col>13</xdr:col>
      <xdr:colOff>295275</xdr:colOff>
      <xdr:row>19</xdr:row>
      <xdr:rowOff>0</xdr:rowOff>
    </xdr:to>
    <xdr:sp>
      <xdr:nvSpPr>
        <xdr:cNvPr id="9" name="Oval 11"/>
        <xdr:cNvSpPr>
          <a:spLocks/>
        </xdr:cNvSpPr>
      </xdr:nvSpPr>
      <xdr:spPr>
        <a:xfrm flipH="1">
          <a:off x="4410075" y="42672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152400</xdr:colOff>
      <xdr:row>13</xdr:row>
      <xdr:rowOff>190500</xdr:rowOff>
    </xdr:from>
    <xdr:to>
      <xdr:col>11</xdr:col>
      <xdr:colOff>247650</xdr:colOff>
      <xdr:row>14</xdr:row>
      <xdr:rowOff>38100</xdr:rowOff>
    </xdr:to>
    <xdr:sp>
      <xdr:nvSpPr>
        <xdr:cNvPr id="10" name="Oval 12"/>
        <xdr:cNvSpPr>
          <a:spLocks/>
        </xdr:cNvSpPr>
      </xdr:nvSpPr>
      <xdr:spPr>
        <a:xfrm>
          <a:off x="3714750" y="31623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180975</xdr:rowOff>
    </xdr:from>
    <xdr:to>
      <xdr:col>7</xdr:col>
      <xdr:colOff>238125</xdr:colOff>
      <xdr:row>5</xdr:row>
      <xdr:rowOff>28575</xdr:rowOff>
    </xdr:to>
    <xdr:sp>
      <xdr:nvSpPr>
        <xdr:cNvPr id="11" name="Oval 13"/>
        <xdr:cNvSpPr>
          <a:spLocks/>
        </xdr:cNvSpPr>
      </xdr:nvSpPr>
      <xdr:spPr>
        <a:xfrm>
          <a:off x="2409825" y="10953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142875</xdr:colOff>
      <xdr:row>9</xdr:row>
      <xdr:rowOff>104775</xdr:rowOff>
    </xdr:from>
    <xdr:to>
      <xdr:col>9</xdr:col>
      <xdr:colOff>238125</xdr:colOff>
      <xdr:row>9</xdr:row>
      <xdr:rowOff>180975</xdr:rowOff>
    </xdr:to>
    <xdr:sp>
      <xdr:nvSpPr>
        <xdr:cNvPr id="12" name="Oval 14"/>
        <xdr:cNvSpPr>
          <a:spLocks/>
        </xdr:cNvSpPr>
      </xdr:nvSpPr>
      <xdr:spPr>
        <a:xfrm>
          <a:off x="3057525" y="21621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228600</xdr:colOff>
      <xdr:row>19</xdr:row>
      <xdr:rowOff>66675</xdr:rowOff>
    </xdr:from>
    <xdr:to>
      <xdr:col>19</xdr:col>
      <xdr:colOff>28575</xdr:colOff>
      <xdr:row>19</xdr:row>
      <xdr:rowOff>142875</xdr:rowOff>
    </xdr:to>
    <xdr:sp>
      <xdr:nvSpPr>
        <xdr:cNvPr id="13" name="Oval 15"/>
        <xdr:cNvSpPr>
          <a:spLocks/>
        </xdr:cNvSpPr>
      </xdr:nvSpPr>
      <xdr:spPr>
        <a:xfrm>
          <a:off x="6057900" y="4410075"/>
          <a:ext cx="123825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190500</xdr:colOff>
      <xdr:row>7</xdr:row>
      <xdr:rowOff>200025</xdr:rowOff>
    </xdr:from>
    <xdr:to>
      <xdr:col>21</xdr:col>
      <xdr:colOff>9525</xdr:colOff>
      <xdr:row>9</xdr:row>
      <xdr:rowOff>114300</xdr:rowOff>
    </xdr:to>
    <xdr:grpSp>
      <xdr:nvGrpSpPr>
        <xdr:cNvPr id="14" name="Group 208"/>
        <xdr:cNvGrpSpPr>
          <a:grpSpLocks/>
        </xdr:cNvGrpSpPr>
      </xdr:nvGrpSpPr>
      <xdr:grpSpPr>
        <a:xfrm>
          <a:off x="4724400" y="1800225"/>
          <a:ext cx="2085975" cy="371475"/>
          <a:chOff x="394" y="189"/>
          <a:chExt cx="174" cy="39"/>
        </a:xfrm>
        <a:solidFill>
          <a:srgbClr val="FFFFFF"/>
        </a:solidFill>
      </xdr:grpSpPr>
      <xdr:sp>
        <xdr:nvSpPr>
          <xdr:cNvPr id="15" name="Line 17"/>
          <xdr:cNvSpPr>
            <a:spLocks/>
          </xdr:cNvSpPr>
        </xdr:nvSpPr>
        <xdr:spPr>
          <a:xfrm>
            <a:off x="394" y="212"/>
            <a:ext cx="67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501" y="220"/>
            <a:ext cx="24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525" y="220"/>
            <a:ext cx="4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 flipV="1">
            <a:off x="394" y="189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23"/>
          <xdr:cNvSpPr>
            <a:spLocks/>
          </xdr:cNvSpPr>
        </xdr:nvSpPr>
        <xdr:spPr>
          <a:xfrm>
            <a:off x="394" y="189"/>
            <a:ext cx="2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416" y="189"/>
            <a:ext cx="0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25"/>
          <xdr:cNvSpPr>
            <a:spLocks/>
          </xdr:cNvSpPr>
        </xdr:nvSpPr>
        <xdr:spPr>
          <a:xfrm>
            <a:off x="416" y="204"/>
            <a:ext cx="1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13</xdr:col>
      <xdr:colOff>295275</xdr:colOff>
      <xdr:row>9</xdr:row>
      <xdr:rowOff>114300</xdr:rowOff>
    </xdr:from>
    <xdr:to>
      <xdr:col>17</xdr:col>
      <xdr:colOff>238125</xdr:colOff>
      <xdr:row>18</xdr:row>
      <xdr:rowOff>152400</xdr:rowOff>
    </xdr:to>
    <xdr:sp>
      <xdr:nvSpPr>
        <xdr:cNvPr id="22" name="Line 26"/>
        <xdr:cNvSpPr>
          <a:spLocks/>
        </xdr:cNvSpPr>
      </xdr:nvSpPr>
      <xdr:spPr>
        <a:xfrm flipH="1">
          <a:off x="4505325" y="2171700"/>
          <a:ext cx="1238250" cy="2095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9</xdr:row>
      <xdr:rowOff>114300</xdr:rowOff>
    </xdr:from>
    <xdr:to>
      <xdr:col>18</xdr:col>
      <xdr:colOff>276225</xdr:colOff>
      <xdr:row>16</xdr:row>
      <xdr:rowOff>66675</xdr:rowOff>
    </xdr:to>
    <xdr:sp>
      <xdr:nvSpPr>
        <xdr:cNvPr id="23" name="Line 27"/>
        <xdr:cNvSpPr>
          <a:spLocks/>
        </xdr:cNvSpPr>
      </xdr:nvSpPr>
      <xdr:spPr>
        <a:xfrm>
          <a:off x="5781675" y="2171700"/>
          <a:ext cx="323850" cy="1552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276225</xdr:colOff>
      <xdr:row>16</xdr:row>
      <xdr:rowOff>123825</xdr:rowOff>
    </xdr:from>
    <xdr:to>
      <xdr:col>18</xdr:col>
      <xdr:colOff>276225</xdr:colOff>
      <xdr:row>18</xdr:row>
      <xdr:rowOff>190500</xdr:rowOff>
    </xdr:to>
    <xdr:sp>
      <xdr:nvSpPr>
        <xdr:cNvPr id="24" name="Line 28"/>
        <xdr:cNvSpPr>
          <a:spLocks/>
        </xdr:cNvSpPr>
      </xdr:nvSpPr>
      <xdr:spPr>
        <a:xfrm>
          <a:off x="6105525" y="3781425"/>
          <a:ext cx="0" cy="523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238125</xdr:colOff>
      <xdr:row>8</xdr:row>
      <xdr:rowOff>152400</xdr:rowOff>
    </xdr:from>
    <xdr:to>
      <xdr:col>14</xdr:col>
      <xdr:colOff>123825</xdr:colOff>
      <xdr:row>13</xdr:row>
      <xdr:rowOff>200025</xdr:rowOff>
    </xdr:to>
    <xdr:sp>
      <xdr:nvSpPr>
        <xdr:cNvPr id="25" name="Line 29"/>
        <xdr:cNvSpPr>
          <a:spLocks/>
        </xdr:cNvSpPr>
      </xdr:nvSpPr>
      <xdr:spPr>
        <a:xfrm flipH="1">
          <a:off x="3800475" y="1981200"/>
          <a:ext cx="857250" cy="1190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142875</xdr:colOff>
      <xdr:row>18</xdr:row>
      <xdr:rowOff>190500</xdr:rowOff>
    </xdr:from>
    <xdr:to>
      <xdr:col>22</xdr:col>
      <xdr:colOff>0</xdr:colOff>
      <xdr:row>19</xdr:row>
      <xdr:rowOff>0</xdr:rowOff>
    </xdr:to>
    <xdr:grpSp>
      <xdr:nvGrpSpPr>
        <xdr:cNvPr id="26" name="Group 31"/>
        <xdr:cNvGrpSpPr>
          <a:grpSpLocks/>
        </xdr:cNvGrpSpPr>
      </xdr:nvGrpSpPr>
      <xdr:grpSpPr>
        <a:xfrm>
          <a:off x="6619875" y="4305300"/>
          <a:ext cx="504825" cy="38100"/>
          <a:chOff x="-4406" y="-401564"/>
          <a:chExt cx="20553" cy="33"/>
        </a:xfrm>
        <a:solidFill>
          <a:srgbClr val="FFFFFF"/>
        </a:solidFill>
      </xdr:grpSpPr>
      <xdr:sp>
        <xdr:nvSpPr>
          <xdr:cNvPr id="27" name="Rectangle 32"/>
          <xdr:cNvSpPr>
            <a:spLocks/>
          </xdr:cNvSpPr>
        </xdr:nvSpPr>
        <xdr:spPr>
          <a:xfrm>
            <a:off x="5608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Rectangle 33"/>
          <xdr:cNvSpPr>
            <a:spLocks/>
          </xdr:cNvSpPr>
        </xdr:nvSpPr>
        <xdr:spPr>
          <a:xfrm>
            <a:off x="-440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10</xdr:col>
      <xdr:colOff>123825</xdr:colOff>
      <xdr:row>12</xdr:row>
      <xdr:rowOff>0</xdr:rowOff>
    </xdr:from>
    <xdr:to>
      <xdr:col>10</xdr:col>
      <xdr:colOff>123825</xdr:colOff>
      <xdr:row>24</xdr:row>
      <xdr:rowOff>0</xdr:rowOff>
    </xdr:to>
    <xdr:sp>
      <xdr:nvSpPr>
        <xdr:cNvPr id="29" name="Line 39"/>
        <xdr:cNvSpPr>
          <a:spLocks/>
        </xdr:cNvSpPr>
      </xdr:nvSpPr>
      <xdr:spPr>
        <a:xfrm>
          <a:off x="3362325" y="2743200"/>
          <a:ext cx="0" cy="27432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247650</xdr:colOff>
      <xdr:row>19</xdr:row>
      <xdr:rowOff>19050</xdr:rowOff>
    </xdr:from>
    <xdr:to>
      <xdr:col>13</xdr:col>
      <xdr:colOff>247650</xdr:colOff>
      <xdr:row>24</xdr:row>
      <xdr:rowOff>0</xdr:rowOff>
    </xdr:to>
    <xdr:sp>
      <xdr:nvSpPr>
        <xdr:cNvPr id="30" name="Line 40"/>
        <xdr:cNvSpPr>
          <a:spLocks/>
        </xdr:cNvSpPr>
      </xdr:nvSpPr>
      <xdr:spPr>
        <a:xfrm>
          <a:off x="4457700" y="4362450"/>
          <a:ext cx="0" cy="11239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276225</xdr:colOff>
      <xdr:row>19</xdr:row>
      <xdr:rowOff>161925</xdr:rowOff>
    </xdr:from>
    <xdr:to>
      <xdr:col>18</xdr:col>
      <xdr:colOff>276225</xdr:colOff>
      <xdr:row>24</xdr:row>
      <xdr:rowOff>0</xdr:rowOff>
    </xdr:to>
    <xdr:sp>
      <xdr:nvSpPr>
        <xdr:cNvPr id="31" name="Line 41"/>
        <xdr:cNvSpPr>
          <a:spLocks/>
        </xdr:cNvSpPr>
      </xdr:nvSpPr>
      <xdr:spPr>
        <a:xfrm>
          <a:off x="6105525" y="4505325"/>
          <a:ext cx="0" cy="9810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0</xdr:rowOff>
    </xdr:from>
    <xdr:to>
      <xdr:col>13</xdr:col>
      <xdr:colOff>247650</xdr:colOff>
      <xdr:row>24</xdr:row>
      <xdr:rowOff>0</xdr:rowOff>
    </xdr:to>
    <xdr:sp>
      <xdr:nvSpPr>
        <xdr:cNvPr id="32" name="Line 42"/>
        <xdr:cNvSpPr>
          <a:spLocks/>
        </xdr:cNvSpPr>
      </xdr:nvSpPr>
      <xdr:spPr>
        <a:xfrm>
          <a:off x="3362325" y="548640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247650</xdr:colOff>
      <xdr:row>24</xdr:row>
      <xdr:rowOff>0</xdr:rowOff>
    </xdr:from>
    <xdr:to>
      <xdr:col>18</xdr:col>
      <xdr:colOff>276225</xdr:colOff>
      <xdr:row>24</xdr:row>
      <xdr:rowOff>0</xdr:rowOff>
    </xdr:to>
    <xdr:sp>
      <xdr:nvSpPr>
        <xdr:cNvPr id="33" name="Line 43"/>
        <xdr:cNvSpPr>
          <a:spLocks/>
        </xdr:cNvSpPr>
      </xdr:nvSpPr>
      <xdr:spPr>
        <a:xfrm>
          <a:off x="4457700" y="5486400"/>
          <a:ext cx="1647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11</xdr:col>
      <xdr:colOff>200025</xdr:colOff>
      <xdr:row>19</xdr:row>
      <xdr:rowOff>0</xdr:rowOff>
    </xdr:to>
    <xdr:sp>
      <xdr:nvSpPr>
        <xdr:cNvPr id="34" name="Line 44"/>
        <xdr:cNvSpPr>
          <a:spLocks/>
        </xdr:cNvSpPr>
      </xdr:nvSpPr>
      <xdr:spPr>
        <a:xfrm flipH="1">
          <a:off x="971550" y="4343400"/>
          <a:ext cx="2790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5" name="Line 45"/>
        <xdr:cNvSpPr>
          <a:spLocks/>
        </xdr:cNvSpPr>
      </xdr:nvSpPr>
      <xdr:spPr>
        <a:xfrm flipH="1">
          <a:off x="971550" y="1143000"/>
          <a:ext cx="1295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19</xdr:row>
      <xdr:rowOff>0</xdr:rowOff>
    </xdr:to>
    <xdr:sp>
      <xdr:nvSpPr>
        <xdr:cNvPr id="36" name="Line 46"/>
        <xdr:cNvSpPr>
          <a:spLocks/>
        </xdr:cNvSpPr>
      </xdr:nvSpPr>
      <xdr:spPr>
        <a:xfrm>
          <a:off x="971550" y="1143000"/>
          <a:ext cx="0" cy="32004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16</xdr:col>
      <xdr:colOff>85725</xdr:colOff>
      <xdr:row>6</xdr:row>
      <xdr:rowOff>0</xdr:rowOff>
    </xdr:to>
    <xdr:sp>
      <xdr:nvSpPr>
        <xdr:cNvPr id="37" name="Line 47"/>
        <xdr:cNvSpPr>
          <a:spLocks/>
        </xdr:cNvSpPr>
      </xdr:nvSpPr>
      <xdr:spPr>
        <a:xfrm>
          <a:off x="3886200" y="1371600"/>
          <a:ext cx="13811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28575</xdr:colOff>
      <xdr:row>4</xdr:row>
      <xdr:rowOff>0</xdr:rowOff>
    </xdr:from>
    <xdr:to>
      <xdr:col>9</xdr:col>
      <xdr:colOff>0</xdr:colOff>
      <xdr:row>5</xdr:row>
      <xdr:rowOff>38100</xdr:rowOff>
    </xdr:to>
    <xdr:sp>
      <xdr:nvSpPr>
        <xdr:cNvPr id="38" name="Line 48"/>
        <xdr:cNvSpPr>
          <a:spLocks/>
        </xdr:cNvSpPr>
      </xdr:nvSpPr>
      <xdr:spPr>
        <a:xfrm flipH="1">
          <a:off x="2619375" y="914400"/>
          <a:ext cx="295275" cy="2667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39" name="Line 49"/>
        <xdr:cNvSpPr>
          <a:spLocks/>
        </xdr:cNvSpPr>
      </xdr:nvSpPr>
      <xdr:spPr>
        <a:xfrm flipH="1">
          <a:off x="2914650" y="914400"/>
          <a:ext cx="1619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219075</xdr:colOff>
      <xdr:row>8</xdr:row>
      <xdr:rowOff>152400</xdr:rowOff>
    </xdr:from>
    <xdr:to>
      <xdr:col>22</xdr:col>
      <xdr:colOff>314325</xdr:colOff>
      <xdr:row>8</xdr:row>
      <xdr:rowOff>152400</xdr:rowOff>
    </xdr:to>
    <xdr:sp>
      <xdr:nvSpPr>
        <xdr:cNvPr id="40" name="Line 56"/>
        <xdr:cNvSpPr>
          <a:spLocks/>
        </xdr:cNvSpPr>
      </xdr:nvSpPr>
      <xdr:spPr>
        <a:xfrm>
          <a:off x="4752975" y="1981200"/>
          <a:ext cx="26860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85725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41" name="Line 57"/>
        <xdr:cNvSpPr>
          <a:spLocks/>
        </xdr:cNvSpPr>
      </xdr:nvSpPr>
      <xdr:spPr>
        <a:xfrm>
          <a:off x="3971925" y="3200400"/>
          <a:ext cx="3476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285750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42" name="Line 59"/>
        <xdr:cNvSpPr>
          <a:spLocks/>
        </xdr:cNvSpPr>
      </xdr:nvSpPr>
      <xdr:spPr>
        <a:xfrm>
          <a:off x="1905000" y="914400"/>
          <a:ext cx="361950" cy="228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6</xdr:row>
      <xdr:rowOff>0</xdr:rowOff>
    </xdr:from>
    <xdr:to>
      <xdr:col>12</xdr:col>
      <xdr:colOff>0</xdr:colOff>
      <xdr:row>9</xdr:row>
      <xdr:rowOff>76200</xdr:rowOff>
    </xdr:to>
    <xdr:sp>
      <xdr:nvSpPr>
        <xdr:cNvPr id="43" name="Line 62"/>
        <xdr:cNvSpPr>
          <a:spLocks/>
        </xdr:cNvSpPr>
      </xdr:nvSpPr>
      <xdr:spPr>
        <a:xfrm flipH="1">
          <a:off x="3190875" y="1371600"/>
          <a:ext cx="695325" cy="7620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190500</xdr:rowOff>
    </xdr:from>
    <xdr:to>
      <xdr:col>23</xdr:col>
      <xdr:colOff>152400</xdr:colOff>
      <xdr:row>19</xdr:row>
      <xdr:rowOff>0</xdr:rowOff>
    </xdr:to>
    <xdr:grpSp>
      <xdr:nvGrpSpPr>
        <xdr:cNvPr id="44" name="Group 63"/>
        <xdr:cNvGrpSpPr>
          <a:grpSpLocks/>
        </xdr:cNvGrpSpPr>
      </xdr:nvGrpSpPr>
      <xdr:grpSpPr>
        <a:xfrm>
          <a:off x="7124700" y="4305300"/>
          <a:ext cx="476250" cy="38100"/>
          <a:chOff x="-3853" y="-401564"/>
          <a:chExt cx="20553" cy="33"/>
        </a:xfrm>
        <a:solidFill>
          <a:srgbClr val="FFFFFF"/>
        </a:solidFill>
      </xdr:grpSpPr>
      <xdr:sp>
        <xdr:nvSpPr>
          <xdr:cNvPr id="45" name="Rectangle 64"/>
          <xdr:cNvSpPr>
            <a:spLocks/>
          </xdr:cNvSpPr>
        </xdr:nvSpPr>
        <xdr:spPr>
          <a:xfrm>
            <a:off x="6686" y="-401564"/>
            <a:ext cx="10014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Rectangle 65"/>
          <xdr:cNvSpPr>
            <a:spLocks/>
          </xdr:cNvSpPr>
        </xdr:nvSpPr>
        <xdr:spPr>
          <a:xfrm>
            <a:off x="-3853" y="-401564"/>
            <a:ext cx="1053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14</xdr:col>
      <xdr:colOff>123825</xdr:colOff>
      <xdr:row>18</xdr:row>
      <xdr:rowOff>190500</xdr:rowOff>
    </xdr:from>
    <xdr:to>
      <xdr:col>15</xdr:col>
      <xdr:colOff>276225</xdr:colOff>
      <xdr:row>19</xdr:row>
      <xdr:rowOff>0</xdr:rowOff>
    </xdr:to>
    <xdr:grpSp>
      <xdr:nvGrpSpPr>
        <xdr:cNvPr id="47" name="Group 66"/>
        <xdr:cNvGrpSpPr>
          <a:grpSpLocks/>
        </xdr:cNvGrpSpPr>
      </xdr:nvGrpSpPr>
      <xdr:grpSpPr>
        <a:xfrm>
          <a:off x="4657725" y="4305300"/>
          <a:ext cx="476250" cy="38100"/>
          <a:chOff x="-1803" y="-401564"/>
          <a:chExt cx="11466" cy="33"/>
        </a:xfrm>
        <a:solidFill>
          <a:srgbClr val="FFFFFF"/>
        </a:solidFill>
      </xdr:grpSpPr>
      <xdr:sp>
        <xdr:nvSpPr>
          <xdr:cNvPr id="48" name="Rectangle 67"/>
          <xdr:cNvSpPr>
            <a:spLocks/>
          </xdr:cNvSpPr>
        </xdr:nvSpPr>
        <xdr:spPr>
          <a:xfrm>
            <a:off x="4076" y="-401564"/>
            <a:ext cx="5587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Rectangle 68"/>
          <xdr:cNvSpPr>
            <a:spLocks/>
          </xdr:cNvSpPr>
        </xdr:nvSpPr>
        <xdr:spPr>
          <a:xfrm>
            <a:off x="-1803" y="-401564"/>
            <a:ext cx="587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18</xdr:row>
      <xdr:rowOff>190500</xdr:rowOff>
    </xdr:from>
    <xdr:to>
      <xdr:col>17</xdr:col>
      <xdr:colOff>133350</xdr:colOff>
      <xdr:row>19</xdr:row>
      <xdr:rowOff>0</xdr:rowOff>
    </xdr:to>
    <xdr:grpSp>
      <xdr:nvGrpSpPr>
        <xdr:cNvPr id="50" name="Group 69"/>
        <xdr:cNvGrpSpPr>
          <a:grpSpLocks/>
        </xdr:cNvGrpSpPr>
      </xdr:nvGrpSpPr>
      <xdr:grpSpPr>
        <a:xfrm>
          <a:off x="5124450" y="4305300"/>
          <a:ext cx="514350" cy="38100"/>
          <a:chOff x="-18171" y="-401564"/>
          <a:chExt cx="21080" cy="33"/>
        </a:xfrm>
        <a:solidFill>
          <a:srgbClr val="FFFFFF"/>
        </a:solidFill>
      </xdr:grpSpPr>
      <xdr:sp>
        <xdr:nvSpPr>
          <xdr:cNvPr id="51" name="Rectangle 70"/>
          <xdr:cNvSpPr>
            <a:spLocks/>
          </xdr:cNvSpPr>
        </xdr:nvSpPr>
        <xdr:spPr>
          <a:xfrm>
            <a:off x="-763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Rectangle 71"/>
          <xdr:cNvSpPr>
            <a:spLocks/>
          </xdr:cNvSpPr>
        </xdr:nvSpPr>
        <xdr:spPr>
          <a:xfrm>
            <a:off x="-18171" y="-401564"/>
            <a:ext cx="1054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17</xdr:col>
      <xdr:colOff>133350</xdr:colOff>
      <xdr:row>18</xdr:row>
      <xdr:rowOff>190500</xdr:rowOff>
    </xdr:from>
    <xdr:to>
      <xdr:col>18</xdr:col>
      <xdr:colOff>285750</xdr:colOff>
      <xdr:row>19</xdr:row>
      <xdr:rowOff>0</xdr:rowOff>
    </xdr:to>
    <xdr:grpSp>
      <xdr:nvGrpSpPr>
        <xdr:cNvPr id="53" name="Group 72"/>
        <xdr:cNvGrpSpPr>
          <a:grpSpLocks/>
        </xdr:cNvGrpSpPr>
      </xdr:nvGrpSpPr>
      <xdr:grpSpPr>
        <a:xfrm>
          <a:off x="5638800" y="4305300"/>
          <a:ext cx="476250" cy="38100"/>
          <a:chOff x="-11967" y="-401564"/>
          <a:chExt cx="14469" cy="33"/>
        </a:xfrm>
        <a:solidFill>
          <a:srgbClr val="FFFFFF"/>
        </a:solidFill>
      </xdr:grpSpPr>
      <xdr:sp>
        <xdr:nvSpPr>
          <xdr:cNvPr id="54" name="Rectangle 73"/>
          <xdr:cNvSpPr>
            <a:spLocks/>
          </xdr:cNvSpPr>
        </xdr:nvSpPr>
        <xdr:spPr>
          <a:xfrm>
            <a:off x="-4917" y="-401564"/>
            <a:ext cx="74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Rectangle 74"/>
          <xdr:cNvSpPr>
            <a:spLocks/>
          </xdr:cNvSpPr>
        </xdr:nvSpPr>
        <xdr:spPr>
          <a:xfrm>
            <a:off x="-11967" y="-401564"/>
            <a:ext cx="705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18</xdr:row>
      <xdr:rowOff>190500</xdr:rowOff>
    </xdr:from>
    <xdr:to>
      <xdr:col>20</xdr:col>
      <xdr:colOff>142875</xdr:colOff>
      <xdr:row>19</xdr:row>
      <xdr:rowOff>0</xdr:rowOff>
    </xdr:to>
    <xdr:grpSp>
      <xdr:nvGrpSpPr>
        <xdr:cNvPr id="56" name="Group 75"/>
        <xdr:cNvGrpSpPr>
          <a:grpSpLocks/>
        </xdr:cNvGrpSpPr>
      </xdr:nvGrpSpPr>
      <xdr:grpSpPr>
        <a:xfrm>
          <a:off x="6115050" y="4305300"/>
          <a:ext cx="504825" cy="38100"/>
          <a:chOff x="-48" y="-401564"/>
          <a:chExt cx="39" cy="33"/>
        </a:xfrm>
        <a:solidFill>
          <a:srgbClr val="FFFFFF"/>
        </a:solidFill>
      </xdr:grpSpPr>
      <xdr:sp>
        <xdr:nvSpPr>
          <xdr:cNvPr id="57" name="Rectangle 76"/>
          <xdr:cNvSpPr>
            <a:spLocks/>
          </xdr:cNvSpPr>
        </xdr:nvSpPr>
        <xdr:spPr>
          <a:xfrm>
            <a:off x="-29" y="-401564"/>
            <a:ext cx="20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Rectangle 77"/>
          <xdr:cNvSpPr>
            <a:spLocks/>
          </xdr:cNvSpPr>
        </xdr:nvSpPr>
        <xdr:spPr>
          <a:xfrm>
            <a:off x="-48" y="-401564"/>
            <a:ext cx="19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16</xdr:row>
      <xdr:rowOff>66675</xdr:rowOff>
    </xdr:from>
    <xdr:to>
      <xdr:col>18</xdr:col>
      <xdr:colOff>276225</xdr:colOff>
      <xdr:row>16</xdr:row>
      <xdr:rowOff>114300</xdr:rowOff>
    </xdr:to>
    <xdr:sp>
      <xdr:nvSpPr>
        <xdr:cNvPr id="59" name="Rectangle 78"/>
        <xdr:cNvSpPr>
          <a:spLocks/>
        </xdr:cNvSpPr>
      </xdr:nvSpPr>
      <xdr:spPr>
        <a:xfrm>
          <a:off x="5457825" y="3724275"/>
          <a:ext cx="6477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9</xdr:row>
      <xdr:rowOff>114300</xdr:rowOff>
    </xdr:from>
    <xdr:to>
      <xdr:col>17</xdr:col>
      <xdr:colOff>276225</xdr:colOff>
      <xdr:row>16</xdr:row>
      <xdr:rowOff>66675</xdr:rowOff>
    </xdr:to>
    <xdr:sp>
      <xdr:nvSpPr>
        <xdr:cNvPr id="60" name="Rectangle 79"/>
        <xdr:cNvSpPr>
          <a:spLocks/>
        </xdr:cNvSpPr>
      </xdr:nvSpPr>
      <xdr:spPr>
        <a:xfrm>
          <a:off x="5743575" y="2171700"/>
          <a:ext cx="3810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38100</xdr:colOff>
      <xdr:row>9</xdr:row>
      <xdr:rowOff>76200</xdr:rowOff>
    </xdr:from>
    <xdr:to>
      <xdr:col>18</xdr:col>
      <xdr:colOff>190500</xdr:colOff>
      <xdr:row>9</xdr:row>
      <xdr:rowOff>114300</xdr:rowOff>
    </xdr:to>
    <xdr:sp>
      <xdr:nvSpPr>
        <xdr:cNvPr id="61" name="Rectangle 80"/>
        <xdr:cNvSpPr>
          <a:spLocks/>
        </xdr:cNvSpPr>
      </xdr:nvSpPr>
      <xdr:spPr>
        <a:xfrm>
          <a:off x="5543550" y="2133600"/>
          <a:ext cx="47625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0</xdr:colOff>
      <xdr:row>14</xdr:row>
      <xdr:rowOff>0</xdr:rowOff>
    </xdr:to>
    <xdr:sp>
      <xdr:nvSpPr>
        <xdr:cNvPr id="62" name="Line 81"/>
        <xdr:cNvSpPr>
          <a:spLocks/>
        </xdr:cNvSpPr>
      </xdr:nvSpPr>
      <xdr:spPr>
        <a:xfrm>
          <a:off x="7448550" y="27432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66675</xdr:rowOff>
    </xdr:from>
    <xdr:to>
      <xdr:col>20</xdr:col>
      <xdr:colOff>0</xdr:colOff>
      <xdr:row>22</xdr:row>
      <xdr:rowOff>0</xdr:rowOff>
    </xdr:to>
    <xdr:sp>
      <xdr:nvSpPr>
        <xdr:cNvPr id="63" name="Line 88"/>
        <xdr:cNvSpPr>
          <a:spLocks/>
        </xdr:cNvSpPr>
      </xdr:nvSpPr>
      <xdr:spPr>
        <a:xfrm flipH="1" flipV="1">
          <a:off x="5876925" y="4410075"/>
          <a:ext cx="600075" cy="619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104775</xdr:colOff>
      <xdr:row>14</xdr:row>
      <xdr:rowOff>0</xdr:rowOff>
    </xdr:from>
    <xdr:to>
      <xdr:col>21</xdr:col>
      <xdr:colOff>142875</xdr:colOff>
      <xdr:row>14</xdr:row>
      <xdr:rowOff>57150</xdr:rowOff>
    </xdr:to>
    <xdr:sp>
      <xdr:nvSpPr>
        <xdr:cNvPr id="64" name="Rectangle 91"/>
        <xdr:cNvSpPr>
          <a:spLocks/>
        </xdr:cNvSpPr>
      </xdr:nvSpPr>
      <xdr:spPr>
        <a:xfrm rot="18798123">
          <a:off x="2371725" y="3200400"/>
          <a:ext cx="4572000" cy="57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180975</xdr:colOff>
      <xdr:row>15</xdr:row>
      <xdr:rowOff>180975</xdr:rowOff>
    </xdr:from>
    <xdr:to>
      <xdr:col>11</xdr:col>
      <xdr:colOff>180975</xdr:colOff>
      <xdr:row>22</xdr:row>
      <xdr:rowOff>0</xdr:rowOff>
    </xdr:to>
    <xdr:sp>
      <xdr:nvSpPr>
        <xdr:cNvPr id="65" name="Line 94"/>
        <xdr:cNvSpPr>
          <a:spLocks/>
        </xdr:cNvSpPr>
      </xdr:nvSpPr>
      <xdr:spPr>
        <a:xfrm>
          <a:off x="3743325" y="3609975"/>
          <a:ext cx="0" cy="1419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247650</xdr:colOff>
      <xdr:row>15</xdr:row>
      <xdr:rowOff>38100</xdr:rowOff>
    </xdr:from>
    <xdr:to>
      <xdr:col>17</xdr:col>
      <xdr:colOff>247650</xdr:colOff>
      <xdr:row>22</xdr:row>
      <xdr:rowOff>0</xdr:rowOff>
    </xdr:to>
    <xdr:sp>
      <xdr:nvSpPr>
        <xdr:cNvPr id="66" name="Line 95"/>
        <xdr:cNvSpPr>
          <a:spLocks/>
        </xdr:cNvSpPr>
      </xdr:nvSpPr>
      <xdr:spPr>
        <a:xfrm>
          <a:off x="5753100" y="3467100"/>
          <a:ext cx="0" cy="1562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0</xdr:rowOff>
    </xdr:from>
    <xdr:to>
      <xdr:col>17</xdr:col>
      <xdr:colOff>247650</xdr:colOff>
      <xdr:row>22</xdr:row>
      <xdr:rowOff>0</xdr:rowOff>
    </xdr:to>
    <xdr:sp>
      <xdr:nvSpPr>
        <xdr:cNvPr id="67" name="Line 96"/>
        <xdr:cNvSpPr>
          <a:spLocks/>
        </xdr:cNvSpPr>
      </xdr:nvSpPr>
      <xdr:spPr>
        <a:xfrm>
          <a:off x="4457700" y="5029200"/>
          <a:ext cx="129540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171450</xdr:rowOff>
    </xdr:from>
    <xdr:to>
      <xdr:col>23</xdr:col>
      <xdr:colOff>0</xdr:colOff>
      <xdr:row>12</xdr:row>
      <xdr:rowOff>0</xdr:rowOff>
    </xdr:to>
    <xdr:sp>
      <xdr:nvSpPr>
        <xdr:cNvPr id="68" name="Line 97"/>
        <xdr:cNvSpPr>
          <a:spLocks/>
        </xdr:cNvSpPr>
      </xdr:nvSpPr>
      <xdr:spPr>
        <a:xfrm flipV="1">
          <a:off x="7448550" y="2000250"/>
          <a:ext cx="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47625</xdr:rowOff>
    </xdr:from>
    <xdr:to>
      <xdr:col>7</xdr:col>
      <xdr:colOff>76200</xdr:colOff>
      <xdr:row>6</xdr:row>
      <xdr:rowOff>200025</xdr:rowOff>
    </xdr:to>
    <xdr:sp>
      <xdr:nvSpPr>
        <xdr:cNvPr id="69" name="Line 99"/>
        <xdr:cNvSpPr>
          <a:spLocks/>
        </xdr:cNvSpPr>
      </xdr:nvSpPr>
      <xdr:spPr>
        <a:xfrm flipV="1">
          <a:off x="1238250" y="1190625"/>
          <a:ext cx="11049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14</xdr:col>
      <xdr:colOff>0</xdr:colOff>
      <xdr:row>21</xdr:row>
      <xdr:rowOff>0</xdr:rowOff>
    </xdr:to>
    <xdr:sp>
      <xdr:nvSpPr>
        <xdr:cNvPr id="70" name="Line 100"/>
        <xdr:cNvSpPr>
          <a:spLocks/>
        </xdr:cNvSpPr>
      </xdr:nvSpPr>
      <xdr:spPr>
        <a:xfrm flipV="1">
          <a:off x="3238500" y="4343400"/>
          <a:ext cx="12954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266700</xdr:colOff>
      <xdr:row>6</xdr:row>
      <xdr:rowOff>200025</xdr:rowOff>
    </xdr:from>
    <xdr:to>
      <xdr:col>10</xdr:col>
      <xdr:colOff>57150</xdr:colOff>
      <xdr:row>21</xdr:row>
      <xdr:rowOff>0</xdr:rowOff>
    </xdr:to>
    <xdr:sp>
      <xdr:nvSpPr>
        <xdr:cNvPr id="71" name="Line 101"/>
        <xdr:cNvSpPr>
          <a:spLocks/>
        </xdr:cNvSpPr>
      </xdr:nvSpPr>
      <xdr:spPr>
        <a:xfrm>
          <a:off x="1238250" y="1571625"/>
          <a:ext cx="2057400" cy="32289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180975</xdr:colOff>
      <xdr:row>22</xdr:row>
      <xdr:rowOff>0</xdr:rowOff>
    </xdr:from>
    <xdr:to>
      <xdr:col>13</xdr:col>
      <xdr:colOff>247650</xdr:colOff>
      <xdr:row>22</xdr:row>
      <xdr:rowOff>0</xdr:rowOff>
    </xdr:to>
    <xdr:sp>
      <xdr:nvSpPr>
        <xdr:cNvPr id="72" name="Line 111"/>
        <xdr:cNvSpPr>
          <a:spLocks/>
        </xdr:cNvSpPr>
      </xdr:nvSpPr>
      <xdr:spPr>
        <a:xfrm>
          <a:off x="3743325" y="5029200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133350</xdr:rowOff>
    </xdr:from>
    <xdr:to>
      <xdr:col>16</xdr:col>
      <xdr:colOff>228600</xdr:colOff>
      <xdr:row>9</xdr:row>
      <xdr:rowOff>133350</xdr:rowOff>
    </xdr:to>
    <xdr:sp>
      <xdr:nvSpPr>
        <xdr:cNvPr id="73" name="Line 112"/>
        <xdr:cNvSpPr>
          <a:spLocks/>
        </xdr:cNvSpPr>
      </xdr:nvSpPr>
      <xdr:spPr>
        <a:xfrm flipH="1">
          <a:off x="1295400" y="2190750"/>
          <a:ext cx="4114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16</xdr:col>
      <xdr:colOff>228600</xdr:colOff>
      <xdr:row>16</xdr:row>
      <xdr:rowOff>114300</xdr:rowOff>
    </xdr:to>
    <xdr:sp>
      <xdr:nvSpPr>
        <xdr:cNvPr id="74" name="Line 113"/>
        <xdr:cNvSpPr>
          <a:spLocks/>
        </xdr:cNvSpPr>
      </xdr:nvSpPr>
      <xdr:spPr>
        <a:xfrm flipH="1">
          <a:off x="1295400" y="3771900"/>
          <a:ext cx="41148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9</xdr:row>
      <xdr:rowOff>133350</xdr:rowOff>
    </xdr:to>
    <xdr:sp>
      <xdr:nvSpPr>
        <xdr:cNvPr id="75" name="Line 115"/>
        <xdr:cNvSpPr>
          <a:spLocks/>
        </xdr:cNvSpPr>
      </xdr:nvSpPr>
      <xdr:spPr>
        <a:xfrm flipV="1">
          <a:off x="1295400" y="1143000"/>
          <a:ext cx="0" cy="104775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133350</xdr:rowOff>
    </xdr:from>
    <xdr:to>
      <xdr:col>4</xdr:col>
      <xdr:colOff>0</xdr:colOff>
      <xdr:row>16</xdr:row>
      <xdr:rowOff>114300</xdr:rowOff>
    </xdr:to>
    <xdr:sp>
      <xdr:nvSpPr>
        <xdr:cNvPr id="76" name="Line 116"/>
        <xdr:cNvSpPr>
          <a:spLocks/>
        </xdr:cNvSpPr>
      </xdr:nvSpPr>
      <xdr:spPr>
        <a:xfrm>
          <a:off x="1295400" y="2190750"/>
          <a:ext cx="0" cy="158115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4</xdr:col>
      <xdr:colOff>0</xdr:colOff>
      <xdr:row>19</xdr:row>
      <xdr:rowOff>19050</xdr:rowOff>
    </xdr:to>
    <xdr:sp>
      <xdr:nvSpPr>
        <xdr:cNvPr id="77" name="Line 117"/>
        <xdr:cNvSpPr>
          <a:spLocks/>
        </xdr:cNvSpPr>
      </xdr:nvSpPr>
      <xdr:spPr>
        <a:xfrm>
          <a:off x="1295400" y="3771900"/>
          <a:ext cx="0" cy="59055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142875</xdr:colOff>
      <xdr:row>12</xdr:row>
      <xdr:rowOff>104775</xdr:rowOff>
    </xdr:from>
    <xdr:to>
      <xdr:col>20</xdr:col>
      <xdr:colOff>0</xdr:colOff>
      <xdr:row>16</xdr:row>
      <xdr:rowOff>0</xdr:rowOff>
    </xdr:to>
    <xdr:sp>
      <xdr:nvSpPr>
        <xdr:cNvPr id="78" name="Line 118"/>
        <xdr:cNvSpPr>
          <a:spLocks/>
        </xdr:cNvSpPr>
      </xdr:nvSpPr>
      <xdr:spPr>
        <a:xfrm flipH="1" flipV="1">
          <a:off x="5324475" y="2847975"/>
          <a:ext cx="11525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95250</xdr:colOff>
      <xdr:row>10</xdr:row>
      <xdr:rowOff>142875</xdr:rowOff>
    </xdr:from>
    <xdr:to>
      <xdr:col>20</xdr:col>
      <xdr:colOff>0</xdr:colOff>
      <xdr:row>17</xdr:row>
      <xdr:rowOff>0</xdr:rowOff>
    </xdr:to>
    <xdr:sp>
      <xdr:nvSpPr>
        <xdr:cNvPr id="79" name="Line 119"/>
        <xdr:cNvSpPr>
          <a:spLocks/>
        </xdr:cNvSpPr>
      </xdr:nvSpPr>
      <xdr:spPr>
        <a:xfrm flipH="1" flipV="1">
          <a:off x="4305300" y="2428875"/>
          <a:ext cx="2171700" cy="14573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228600</xdr:colOff>
      <xdr:row>2</xdr:row>
      <xdr:rowOff>0</xdr:rowOff>
    </xdr:from>
    <xdr:to>
      <xdr:col>13</xdr:col>
      <xdr:colOff>228600</xdr:colOff>
      <xdr:row>16</xdr:row>
      <xdr:rowOff>180975</xdr:rowOff>
    </xdr:to>
    <xdr:sp>
      <xdr:nvSpPr>
        <xdr:cNvPr id="80" name="Line 120"/>
        <xdr:cNvSpPr>
          <a:spLocks/>
        </xdr:cNvSpPr>
      </xdr:nvSpPr>
      <xdr:spPr>
        <a:xfrm flipV="1">
          <a:off x="4438650" y="457200"/>
          <a:ext cx="0" cy="3381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247650</xdr:colOff>
      <xdr:row>2</xdr:row>
      <xdr:rowOff>0</xdr:rowOff>
    </xdr:from>
    <xdr:to>
      <xdr:col>17</xdr:col>
      <xdr:colOff>247650</xdr:colOff>
      <xdr:row>8</xdr:row>
      <xdr:rowOff>76200</xdr:rowOff>
    </xdr:to>
    <xdr:sp>
      <xdr:nvSpPr>
        <xdr:cNvPr id="81" name="Line 121"/>
        <xdr:cNvSpPr>
          <a:spLocks/>
        </xdr:cNvSpPr>
      </xdr:nvSpPr>
      <xdr:spPr>
        <a:xfrm>
          <a:off x="5753100" y="457200"/>
          <a:ext cx="0" cy="1447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2</xdr:row>
      <xdr:rowOff>9525</xdr:rowOff>
    </xdr:from>
    <xdr:to>
      <xdr:col>7</xdr:col>
      <xdr:colOff>152400</xdr:colOff>
      <xdr:row>4</xdr:row>
      <xdr:rowOff>114300</xdr:rowOff>
    </xdr:to>
    <xdr:sp>
      <xdr:nvSpPr>
        <xdr:cNvPr id="82" name="Line 122"/>
        <xdr:cNvSpPr>
          <a:spLocks/>
        </xdr:cNvSpPr>
      </xdr:nvSpPr>
      <xdr:spPr>
        <a:xfrm>
          <a:off x="2419350" y="466725"/>
          <a:ext cx="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152400</xdr:colOff>
      <xdr:row>2</xdr:row>
      <xdr:rowOff>0</xdr:rowOff>
    </xdr:from>
    <xdr:to>
      <xdr:col>13</xdr:col>
      <xdr:colOff>219075</xdr:colOff>
      <xdr:row>2</xdr:row>
      <xdr:rowOff>0</xdr:rowOff>
    </xdr:to>
    <xdr:sp>
      <xdr:nvSpPr>
        <xdr:cNvPr id="83" name="Line 123"/>
        <xdr:cNvSpPr>
          <a:spLocks/>
        </xdr:cNvSpPr>
      </xdr:nvSpPr>
      <xdr:spPr>
        <a:xfrm>
          <a:off x="2419350" y="457200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219075</xdr:colOff>
      <xdr:row>2</xdr:row>
      <xdr:rowOff>0</xdr:rowOff>
    </xdr:from>
    <xdr:to>
      <xdr:col>17</xdr:col>
      <xdr:colOff>238125</xdr:colOff>
      <xdr:row>2</xdr:row>
      <xdr:rowOff>0</xdr:rowOff>
    </xdr:to>
    <xdr:sp>
      <xdr:nvSpPr>
        <xdr:cNvPr id="84" name="Line 124"/>
        <xdr:cNvSpPr>
          <a:spLocks/>
        </xdr:cNvSpPr>
      </xdr:nvSpPr>
      <xdr:spPr>
        <a:xfrm>
          <a:off x="4429125" y="457200"/>
          <a:ext cx="131445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238125</xdr:colOff>
      <xdr:row>3</xdr:row>
      <xdr:rowOff>85725</xdr:rowOff>
    </xdr:from>
    <xdr:to>
      <xdr:col>10</xdr:col>
      <xdr:colOff>276225</xdr:colOff>
      <xdr:row>19</xdr:row>
      <xdr:rowOff>161925</xdr:rowOff>
    </xdr:to>
    <xdr:sp>
      <xdr:nvSpPr>
        <xdr:cNvPr id="85" name="Rectangle 138"/>
        <xdr:cNvSpPr>
          <a:spLocks/>
        </xdr:cNvSpPr>
      </xdr:nvSpPr>
      <xdr:spPr>
        <a:xfrm rot="20017606">
          <a:off x="3476625" y="771525"/>
          <a:ext cx="38100" cy="3733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24</xdr:col>
      <xdr:colOff>0</xdr:colOff>
      <xdr:row>37</xdr:row>
      <xdr:rowOff>142875</xdr:rowOff>
    </xdr:to>
    <xdr:sp>
      <xdr:nvSpPr>
        <xdr:cNvPr id="86" name="Rectangle 152"/>
        <xdr:cNvSpPr>
          <a:spLocks/>
        </xdr:cNvSpPr>
      </xdr:nvSpPr>
      <xdr:spPr>
        <a:xfrm>
          <a:off x="4857750" y="8458200"/>
          <a:ext cx="2914650" cy="1428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0</xdr:colOff>
      <xdr:row>37</xdr:row>
      <xdr:rowOff>0</xdr:rowOff>
    </xdr:to>
    <xdr:sp>
      <xdr:nvSpPr>
        <xdr:cNvPr id="87" name="Line 153"/>
        <xdr:cNvSpPr>
          <a:spLocks/>
        </xdr:cNvSpPr>
      </xdr:nvSpPr>
      <xdr:spPr>
        <a:xfrm>
          <a:off x="5181600" y="75438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37</xdr:row>
      <xdr:rowOff>0</xdr:rowOff>
    </xdr:to>
    <xdr:sp>
      <xdr:nvSpPr>
        <xdr:cNvPr id="88" name="Line 154"/>
        <xdr:cNvSpPr>
          <a:spLocks/>
        </xdr:cNvSpPr>
      </xdr:nvSpPr>
      <xdr:spPr>
        <a:xfrm>
          <a:off x="5505450" y="75438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37</xdr:row>
      <xdr:rowOff>0</xdr:rowOff>
    </xdr:to>
    <xdr:sp>
      <xdr:nvSpPr>
        <xdr:cNvPr id="89" name="Line 155"/>
        <xdr:cNvSpPr>
          <a:spLocks/>
        </xdr:cNvSpPr>
      </xdr:nvSpPr>
      <xdr:spPr>
        <a:xfrm>
          <a:off x="6153150" y="75438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90" name="Line 156"/>
        <xdr:cNvSpPr>
          <a:spLocks/>
        </xdr:cNvSpPr>
      </xdr:nvSpPr>
      <xdr:spPr>
        <a:xfrm>
          <a:off x="5181600" y="75438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1" name="Line 157"/>
        <xdr:cNvSpPr>
          <a:spLocks/>
        </xdr:cNvSpPr>
      </xdr:nvSpPr>
      <xdr:spPr>
        <a:xfrm>
          <a:off x="4857750" y="845820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23</xdr:col>
      <xdr:colOff>0</xdr:colOff>
      <xdr:row>35</xdr:row>
      <xdr:rowOff>142875</xdr:rowOff>
    </xdr:to>
    <xdr:grpSp>
      <xdr:nvGrpSpPr>
        <xdr:cNvPr id="92" name="Group 158"/>
        <xdr:cNvGrpSpPr>
          <a:grpSpLocks/>
        </xdr:cNvGrpSpPr>
      </xdr:nvGrpSpPr>
      <xdr:grpSpPr>
        <a:xfrm>
          <a:off x="7124700" y="8001000"/>
          <a:ext cx="323850" cy="142875"/>
          <a:chOff x="594" y="912"/>
          <a:chExt cx="27" cy="15"/>
        </a:xfrm>
        <a:solidFill>
          <a:srgbClr val="FFFFFF"/>
        </a:solidFill>
      </xdr:grpSpPr>
      <xdr:sp>
        <xdr:nvSpPr>
          <xdr:cNvPr id="93" name="Line 159"/>
          <xdr:cNvSpPr>
            <a:spLocks/>
          </xdr:cNvSpPr>
        </xdr:nvSpPr>
        <xdr:spPr>
          <a:xfrm>
            <a:off x="594" y="912"/>
            <a:ext cx="1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4" name="Line 160"/>
          <xdr:cNvSpPr>
            <a:spLocks/>
          </xdr:cNvSpPr>
        </xdr:nvSpPr>
        <xdr:spPr>
          <a:xfrm>
            <a:off x="606" y="92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Line 161"/>
          <xdr:cNvSpPr>
            <a:spLocks/>
          </xdr:cNvSpPr>
        </xdr:nvSpPr>
        <xdr:spPr>
          <a:xfrm>
            <a:off x="594" y="912"/>
            <a:ext cx="1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6" name="Line 162"/>
          <xdr:cNvSpPr>
            <a:spLocks/>
          </xdr:cNvSpPr>
        </xdr:nvSpPr>
        <xdr:spPr>
          <a:xfrm>
            <a:off x="606" y="92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23</xdr:col>
      <xdr:colOff>180975</xdr:colOff>
      <xdr:row>35</xdr:row>
      <xdr:rowOff>0</xdr:rowOff>
    </xdr:from>
    <xdr:to>
      <xdr:col>24</xdr:col>
      <xdr:colOff>0</xdr:colOff>
      <xdr:row>35</xdr:row>
      <xdr:rowOff>142875</xdr:rowOff>
    </xdr:to>
    <xdr:sp>
      <xdr:nvSpPr>
        <xdr:cNvPr id="97" name="Line 163"/>
        <xdr:cNvSpPr>
          <a:spLocks/>
        </xdr:cNvSpPr>
      </xdr:nvSpPr>
      <xdr:spPr>
        <a:xfrm flipH="1">
          <a:off x="7629525" y="8001000"/>
          <a:ext cx="142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142875</xdr:rowOff>
    </xdr:from>
    <xdr:to>
      <xdr:col>23</xdr:col>
      <xdr:colOff>180975</xdr:colOff>
      <xdr:row>35</xdr:row>
      <xdr:rowOff>142875</xdr:rowOff>
    </xdr:to>
    <xdr:sp>
      <xdr:nvSpPr>
        <xdr:cNvPr id="98" name="Line 164"/>
        <xdr:cNvSpPr>
          <a:spLocks/>
        </xdr:cNvSpPr>
      </xdr:nvSpPr>
      <xdr:spPr>
        <a:xfrm>
          <a:off x="7448550" y="8143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38100</xdr:rowOff>
    </xdr:from>
    <xdr:to>
      <xdr:col>17</xdr:col>
      <xdr:colOff>190500</xdr:colOff>
      <xdr:row>33</xdr:row>
      <xdr:rowOff>161925</xdr:rowOff>
    </xdr:to>
    <xdr:sp>
      <xdr:nvSpPr>
        <xdr:cNvPr id="99" name="Rectangle 165"/>
        <xdr:cNvSpPr>
          <a:spLocks/>
        </xdr:cNvSpPr>
      </xdr:nvSpPr>
      <xdr:spPr>
        <a:xfrm>
          <a:off x="5591175" y="75819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38100</xdr:rowOff>
    </xdr:from>
    <xdr:to>
      <xdr:col>18</xdr:col>
      <xdr:colOff>57150</xdr:colOff>
      <xdr:row>33</xdr:row>
      <xdr:rowOff>161925</xdr:rowOff>
    </xdr:to>
    <xdr:sp>
      <xdr:nvSpPr>
        <xdr:cNvPr id="100" name="Rectangle 166"/>
        <xdr:cNvSpPr>
          <a:spLocks/>
        </xdr:cNvSpPr>
      </xdr:nvSpPr>
      <xdr:spPr>
        <a:xfrm>
          <a:off x="5781675" y="75819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33</xdr:row>
      <xdr:rowOff>38100</xdr:rowOff>
    </xdr:from>
    <xdr:to>
      <xdr:col>18</xdr:col>
      <xdr:colOff>238125</xdr:colOff>
      <xdr:row>33</xdr:row>
      <xdr:rowOff>161925</xdr:rowOff>
    </xdr:to>
    <xdr:sp>
      <xdr:nvSpPr>
        <xdr:cNvPr id="101" name="Rectangle 167"/>
        <xdr:cNvSpPr>
          <a:spLocks/>
        </xdr:cNvSpPr>
      </xdr:nvSpPr>
      <xdr:spPr>
        <a:xfrm>
          <a:off x="5962650" y="75819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190500</xdr:rowOff>
    </xdr:from>
    <xdr:to>
      <xdr:col>17</xdr:col>
      <xdr:colOff>190500</xdr:colOff>
      <xdr:row>34</xdr:row>
      <xdr:rowOff>85725</xdr:rowOff>
    </xdr:to>
    <xdr:sp>
      <xdr:nvSpPr>
        <xdr:cNvPr id="102" name="Rectangle 168"/>
        <xdr:cNvSpPr>
          <a:spLocks/>
        </xdr:cNvSpPr>
      </xdr:nvSpPr>
      <xdr:spPr>
        <a:xfrm>
          <a:off x="5591175" y="77343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190500</xdr:rowOff>
    </xdr:from>
    <xdr:to>
      <xdr:col>18</xdr:col>
      <xdr:colOff>57150</xdr:colOff>
      <xdr:row>34</xdr:row>
      <xdr:rowOff>85725</xdr:rowOff>
    </xdr:to>
    <xdr:sp>
      <xdr:nvSpPr>
        <xdr:cNvPr id="103" name="Rectangle 169"/>
        <xdr:cNvSpPr>
          <a:spLocks/>
        </xdr:cNvSpPr>
      </xdr:nvSpPr>
      <xdr:spPr>
        <a:xfrm>
          <a:off x="5781675" y="77343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33</xdr:row>
      <xdr:rowOff>190500</xdr:rowOff>
    </xdr:from>
    <xdr:to>
      <xdr:col>18</xdr:col>
      <xdr:colOff>238125</xdr:colOff>
      <xdr:row>34</xdr:row>
      <xdr:rowOff>85725</xdr:rowOff>
    </xdr:to>
    <xdr:sp>
      <xdr:nvSpPr>
        <xdr:cNvPr id="104" name="Rectangle 170"/>
        <xdr:cNvSpPr>
          <a:spLocks/>
        </xdr:cNvSpPr>
      </xdr:nvSpPr>
      <xdr:spPr>
        <a:xfrm>
          <a:off x="5962650" y="7734300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123825</xdr:rowOff>
    </xdr:from>
    <xdr:to>
      <xdr:col>17</xdr:col>
      <xdr:colOff>190500</xdr:colOff>
      <xdr:row>35</xdr:row>
      <xdr:rowOff>19050</xdr:rowOff>
    </xdr:to>
    <xdr:sp>
      <xdr:nvSpPr>
        <xdr:cNvPr id="105" name="Rectangle 171"/>
        <xdr:cNvSpPr>
          <a:spLocks/>
        </xdr:cNvSpPr>
      </xdr:nvSpPr>
      <xdr:spPr>
        <a:xfrm>
          <a:off x="5591175" y="78962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34</xdr:row>
      <xdr:rowOff>123825</xdr:rowOff>
    </xdr:from>
    <xdr:to>
      <xdr:col>18</xdr:col>
      <xdr:colOff>57150</xdr:colOff>
      <xdr:row>35</xdr:row>
      <xdr:rowOff>19050</xdr:rowOff>
    </xdr:to>
    <xdr:sp>
      <xdr:nvSpPr>
        <xdr:cNvPr id="106" name="Rectangle 172"/>
        <xdr:cNvSpPr>
          <a:spLocks/>
        </xdr:cNvSpPr>
      </xdr:nvSpPr>
      <xdr:spPr>
        <a:xfrm>
          <a:off x="5781675" y="78962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34</xdr:row>
      <xdr:rowOff>123825</xdr:rowOff>
    </xdr:from>
    <xdr:to>
      <xdr:col>18</xdr:col>
      <xdr:colOff>238125</xdr:colOff>
      <xdr:row>35</xdr:row>
      <xdr:rowOff>19050</xdr:rowOff>
    </xdr:to>
    <xdr:sp>
      <xdr:nvSpPr>
        <xdr:cNvPr id="107" name="Rectangle 173"/>
        <xdr:cNvSpPr>
          <a:spLocks/>
        </xdr:cNvSpPr>
      </xdr:nvSpPr>
      <xdr:spPr>
        <a:xfrm>
          <a:off x="5962650" y="78962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47625</xdr:rowOff>
    </xdr:from>
    <xdr:to>
      <xdr:col>17</xdr:col>
      <xdr:colOff>190500</xdr:colOff>
      <xdr:row>35</xdr:row>
      <xdr:rowOff>171450</xdr:rowOff>
    </xdr:to>
    <xdr:sp>
      <xdr:nvSpPr>
        <xdr:cNvPr id="108" name="Rectangle 174"/>
        <xdr:cNvSpPr>
          <a:spLocks/>
        </xdr:cNvSpPr>
      </xdr:nvSpPr>
      <xdr:spPr>
        <a:xfrm>
          <a:off x="5591175" y="80486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276225</xdr:colOff>
      <xdr:row>35</xdr:row>
      <xdr:rowOff>47625</xdr:rowOff>
    </xdr:from>
    <xdr:to>
      <xdr:col>18</xdr:col>
      <xdr:colOff>57150</xdr:colOff>
      <xdr:row>35</xdr:row>
      <xdr:rowOff>171450</xdr:rowOff>
    </xdr:to>
    <xdr:sp>
      <xdr:nvSpPr>
        <xdr:cNvPr id="109" name="Rectangle 175"/>
        <xdr:cNvSpPr>
          <a:spLocks/>
        </xdr:cNvSpPr>
      </xdr:nvSpPr>
      <xdr:spPr>
        <a:xfrm>
          <a:off x="5781675" y="80486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35</xdr:row>
      <xdr:rowOff>47625</xdr:rowOff>
    </xdr:from>
    <xdr:to>
      <xdr:col>18</xdr:col>
      <xdr:colOff>238125</xdr:colOff>
      <xdr:row>35</xdr:row>
      <xdr:rowOff>171450</xdr:rowOff>
    </xdr:to>
    <xdr:sp>
      <xdr:nvSpPr>
        <xdr:cNvPr id="110" name="Rectangle 176"/>
        <xdr:cNvSpPr>
          <a:spLocks/>
        </xdr:cNvSpPr>
      </xdr:nvSpPr>
      <xdr:spPr>
        <a:xfrm>
          <a:off x="5962650" y="8048625"/>
          <a:ext cx="1047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247650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11" name="Line 177"/>
        <xdr:cNvSpPr>
          <a:spLocks/>
        </xdr:cNvSpPr>
      </xdr:nvSpPr>
      <xdr:spPr>
        <a:xfrm>
          <a:off x="6400800" y="754380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37</xdr:row>
      <xdr:rowOff>0</xdr:rowOff>
    </xdr:to>
    <xdr:sp>
      <xdr:nvSpPr>
        <xdr:cNvPr id="112" name="Line 178"/>
        <xdr:cNvSpPr>
          <a:spLocks/>
        </xdr:cNvSpPr>
      </xdr:nvSpPr>
      <xdr:spPr>
        <a:xfrm>
          <a:off x="6800850" y="7543800"/>
          <a:ext cx="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247650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13" name="Line 179"/>
        <xdr:cNvSpPr>
          <a:spLocks/>
        </xdr:cNvSpPr>
      </xdr:nvSpPr>
      <xdr:spPr>
        <a:xfrm>
          <a:off x="8020050" y="845820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247650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114" name="Line 180"/>
        <xdr:cNvSpPr>
          <a:spLocks/>
        </xdr:cNvSpPr>
      </xdr:nvSpPr>
      <xdr:spPr>
        <a:xfrm>
          <a:off x="8020050" y="8001000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37</xdr:row>
      <xdr:rowOff>0</xdr:rowOff>
    </xdr:to>
    <xdr:sp>
      <xdr:nvSpPr>
        <xdr:cNvPr id="115" name="Line 181"/>
        <xdr:cNvSpPr>
          <a:spLocks/>
        </xdr:cNvSpPr>
      </xdr:nvSpPr>
      <xdr:spPr>
        <a:xfrm flipH="1">
          <a:off x="8420100" y="80010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0</xdr:colOff>
      <xdr:row>39</xdr:row>
      <xdr:rowOff>0</xdr:rowOff>
    </xdr:to>
    <xdr:sp>
      <xdr:nvSpPr>
        <xdr:cNvPr id="116" name="Line 182"/>
        <xdr:cNvSpPr>
          <a:spLocks/>
        </xdr:cNvSpPr>
      </xdr:nvSpPr>
      <xdr:spPr>
        <a:xfrm flipV="1">
          <a:off x="7124700" y="822960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39</xdr:row>
      <xdr:rowOff>0</xdr:rowOff>
    </xdr:to>
    <xdr:sp>
      <xdr:nvSpPr>
        <xdr:cNvPr id="117" name="Line 183"/>
        <xdr:cNvSpPr>
          <a:spLocks/>
        </xdr:cNvSpPr>
      </xdr:nvSpPr>
      <xdr:spPr>
        <a:xfrm flipH="1" flipV="1">
          <a:off x="6153150" y="84582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>
      <xdr:nvSpPr>
        <xdr:cNvPr id="118" name="Line 184"/>
        <xdr:cNvSpPr>
          <a:spLocks/>
        </xdr:cNvSpPr>
      </xdr:nvSpPr>
      <xdr:spPr>
        <a:xfrm>
          <a:off x="6153150" y="8915400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152400</xdr:colOff>
      <xdr:row>41</xdr:row>
      <xdr:rowOff>0</xdr:rowOff>
    </xdr:from>
    <xdr:to>
      <xdr:col>18</xdr:col>
      <xdr:colOff>152400</xdr:colOff>
      <xdr:row>44</xdr:row>
      <xdr:rowOff>0</xdr:rowOff>
    </xdr:to>
    <xdr:sp>
      <xdr:nvSpPr>
        <xdr:cNvPr id="119" name="Rectangle 185"/>
        <xdr:cNvSpPr>
          <a:spLocks/>
        </xdr:cNvSpPr>
      </xdr:nvSpPr>
      <xdr:spPr>
        <a:xfrm rot="1678768">
          <a:off x="5334000" y="9372600"/>
          <a:ext cx="647700" cy="6858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76200</xdr:colOff>
      <xdr:row>39</xdr:row>
      <xdr:rowOff>114300</xdr:rowOff>
    </xdr:from>
    <xdr:to>
      <xdr:col>17</xdr:col>
      <xdr:colOff>238125</xdr:colOff>
      <xdr:row>40</xdr:row>
      <xdr:rowOff>142875</xdr:rowOff>
    </xdr:to>
    <xdr:sp>
      <xdr:nvSpPr>
        <xdr:cNvPr id="120" name="Line 186"/>
        <xdr:cNvSpPr>
          <a:spLocks/>
        </xdr:cNvSpPr>
      </xdr:nvSpPr>
      <xdr:spPr>
        <a:xfrm rot="16200000">
          <a:off x="5581650" y="9029700"/>
          <a:ext cx="1714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123825</xdr:rowOff>
    </xdr:from>
    <xdr:to>
      <xdr:col>19</xdr:col>
      <xdr:colOff>171450</xdr:colOff>
      <xdr:row>41</xdr:row>
      <xdr:rowOff>152400</xdr:rowOff>
    </xdr:to>
    <xdr:sp>
      <xdr:nvSpPr>
        <xdr:cNvPr id="121" name="Line 187"/>
        <xdr:cNvSpPr>
          <a:spLocks/>
        </xdr:cNvSpPr>
      </xdr:nvSpPr>
      <xdr:spPr>
        <a:xfrm rot="16200000">
          <a:off x="6153150" y="9267825"/>
          <a:ext cx="17145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238125</xdr:colOff>
      <xdr:row>39</xdr:row>
      <xdr:rowOff>114300</xdr:rowOff>
    </xdr:from>
    <xdr:to>
      <xdr:col>19</xdr:col>
      <xdr:colOff>171450</xdr:colOff>
      <xdr:row>40</xdr:row>
      <xdr:rowOff>123825</xdr:rowOff>
    </xdr:to>
    <xdr:sp>
      <xdr:nvSpPr>
        <xdr:cNvPr id="122" name="Line 188"/>
        <xdr:cNvSpPr>
          <a:spLocks/>
        </xdr:cNvSpPr>
      </xdr:nvSpPr>
      <xdr:spPr>
        <a:xfrm>
          <a:off x="5743575" y="9029700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9525</xdr:colOff>
      <xdr:row>41</xdr:row>
      <xdr:rowOff>161925</xdr:rowOff>
    </xdr:from>
    <xdr:to>
      <xdr:col>20</xdr:col>
      <xdr:colOff>266700</xdr:colOff>
      <xdr:row>42</xdr:row>
      <xdr:rowOff>171450</xdr:rowOff>
    </xdr:to>
    <xdr:sp>
      <xdr:nvSpPr>
        <xdr:cNvPr id="123" name="Line 189"/>
        <xdr:cNvSpPr>
          <a:spLocks/>
        </xdr:cNvSpPr>
      </xdr:nvSpPr>
      <xdr:spPr>
        <a:xfrm>
          <a:off x="6162675" y="9534525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180975</xdr:colOff>
      <xdr:row>42</xdr:row>
      <xdr:rowOff>161925</xdr:rowOff>
    </xdr:from>
    <xdr:to>
      <xdr:col>20</xdr:col>
      <xdr:colOff>266700</xdr:colOff>
      <xdr:row>45</xdr:row>
      <xdr:rowOff>95250</xdr:rowOff>
    </xdr:to>
    <xdr:sp>
      <xdr:nvSpPr>
        <xdr:cNvPr id="124" name="Line 191"/>
        <xdr:cNvSpPr>
          <a:spLocks/>
        </xdr:cNvSpPr>
      </xdr:nvSpPr>
      <xdr:spPr>
        <a:xfrm rot="16200000">
          <a:off x="6334125" y="9763125"/>
          <a:ext cx="409575" cy="61912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26</xdr:col>
      <xdr:colOff>0</xdr:colOff>
      <xdr:row>33</xdr:row>
      <xdr:rowOff>0</xdr:rowOff>
    </xdr:to>
    <xdr:sp>
      <xdr:nvSpPr>
        <xdr:cNvPr id="125" name="Line 192"/>
        <xdr:cNvSpPr>
          <a:spLocks/>
        </xdr:cNvSpPr>
      </xdr:nvSpPr>
      <xdr:spPr>
        <a:xfrm flipV="1">
          <a:off x="7772400" y="7543800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24</xdr:col>
      <xdr:colOff>0</xdr:colOff>
      <xdr:row>35</xdr:row>
      <xdr:rowOff>0</xdr:rowOff>
    </xdr:to>
    <xdr:sp>
      <xdr:nvSpPr>
        <xdr:cNvPr id="126" name="Line 193"/>
        <xdr:cNvSpPr>
          <a:spLocks/>
        </xdr:cNvSpPr>
      </xdr:nvSpPr>
      <xdr:spPr>
        <a:xfrm flipH="1">
          <a:off x="7448550" y="7543800"/>
          <a:ext cx="3238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247650</xdr:colOff>
      <xdr:row>44</xdr:row>
      <xdr:rowOff>85725</xdr:rowOff>
    </xdr:from>
    <xdr:to>
      <xdr:col>19</xdr:col>
      <xdr:colOff>180975</xdr:colOff>
      <xdr:row>45</xdr:row>
      <xdr:rowOff>95250</xdr:rowOff>
    </xdr:to>
    <xdr:sp>
      <xdr:nvSpPr>
        <xdr:cNvPr id="127" name="Line 194"/>
        <xdr:cNvSpPr>
          <a:spLocks/>
        </xdr:cNvSpPr>
      </xdr:nvSpPr>
      <xdr:spPr>
        <a:xfrm>
          <a:off x="5753100" y="10144125"/>
          <a:ext cx="5810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171450</xdr:colOff>
      <xdr:row>7</xdr:row>
      <xdr:rowOff>161925</xdr:rowOff>
    </xdr:from>
    <xdr:to>
      <xdr:col>15</xdr:col>
      <xdr:colOff>171450</xdr:colOff>
      <xdr:row>8</xdr:row>
      <xdr:rowOff>142875</xdr:rowOff>
    </xdr:to>
    <xdr:sp>
      <xdr:nvSpPr>
        <xdr:cNvPr id="128" name="AutoShape 206"/>
        <xdr:cNvSpPr>
          <a:spLocks/>
        </xdr:cNvSpPr>
      </xdr:nvSpPr>
      <xdr:spPr>
        <a:xfrm flipH="1">
          <a:off x="4705350" y="1762125"/>
          <a:ext cx="323850" cy="209550"/>
        </a:xfrm>
        <a:custGeom>
          <a:pathLst>
            <a:path h="20" w="25">
              <a:moveTo>
                <a:pt x="25" y="20"/>
              </a:moveTo>
              <a:lnTo>
                <a:pt x="25" y="0"/>
              </a:lnTo>
              <a:lnTo>
                <a:pt x="0" y="0"/>
              </a:lnTo>
              <a:lnTo>
                <a:pt x="0" y="12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114300</xdr:rowOff>
    </xdr:from>
    <xdr:to>
      <xdr:col>14</xdr:col>
      <xdr:colOff>171450</xdr:colOff>
      <xdr:row>8</xdr:row>
      <xdr:rowOff>171450</xdr:rowOff>
    </xdr:to>
    <xdr:sp>
      <xdr:nvSpPr>
        <xdr:cNvPr id="129" name="Oval 207"/>
        <xdr:cNvSpPr>
          <a:spLocks/>
        </xdr:cNvSpPr>
      </xdr:nvSpPr>
      <xdr:spPr>
        <a:xfrm>
          <a:off x="4629150" y="1943100"/>
          <a:ext cx="76200" cy="57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190500</xdr:colOff>
      <xdr:row>8</xdr:row>
      <xdr:rowOff>9525</xdr:rowOff>
    </xdr:from>
    <xdr:to>
      <xdr:col>11</xdr:col>
      <xdr:colOff>190500</xdr:colOff>
      <xdr:row>13</xdr:row>
      <xdr:rowOff>9525</xdr:rowOff>
    </xdr:to>
    <xdr:sp>
      <xdr:nvSpPr>
        <xdr:cNvPr id="130" name="Line 209"/>
        <xdr:cNvSpPr>
          <a:spLocks/>
        </xdr:cNvSpPr>
      </xdr:nvSpPr>
      <xdr:spPr>
        <a:xfrm>
          <a:off x="3752850" y="1838325"/>
          <a:ext cx="0" cy="1143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180975</xdr:colOff>
      <xdr:row>8</xdr:row>
      <xdr:rowOff>19050</xdr:rowOff>
    </xdr:from>
    <xdr:to>
      <xdr:col>14</xdr:col>
      <xdr:colOff>133350</xdr:colOff>
      <xdr:row>8</xdr:row>
      <xdr:rowOff>19050</xdr:rowOff>
    </xdr:to>
    <xdr:sp>
      <xdr:nvSpPr>
        <xdr:cNvPr id="131" name="Line 210"/>
        <xdr:cNvSpPr>
          <a:spLocks/>
        </xdr:cNvSpPr>
      </xdr:nvSpPr>
      <xdr:spPr>
        <a:xfrm>
          <a:off x="3743325" y="1847850"/>
          <a:ext cx="9239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0</xdr:rowOff>
    </xdr:from>
    <xdr:to>
      <xdr:col>14</xdr:col>
      <xdr:colOff>123825</xdr:colOff>
      <xdr:row>8</xdr:row>
      <xdr:rowOff>114300</xdr:rowOff>
    </xdr:to>
    <xdr:sp>
      <xdr:nvSpPr>
        <xdr:cNvPr id="132" name="Line 211"/>
        <xdr:cNvSpPr>
          <a:spLocks/>
        </xdr:cNvSpPr>
      </xdr:nvSpPr>
      <xdr:spPr>
        <a:xfrm>
          <a:off x="4657725" y="1828800"/>
          <a:ext cx="0" cy="114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9</xdr:row>
      <xdr:rowOff>0</xdr:rowOff>
    </xdr:from>
    <xdr:to>
      <xdr:col>24</xdr:col>
      <xdr:colOff>0</xdr:colOff>
      <xdr:row>15</xdr:row>
      <xdr:rowOff>0</xdr:rowOff>
    </xdr:to>
    <xdr:sp>
      <xdr:nvSpPr>
        <xdr:cNvPr id="1" name="Line 69"/>
        <xdr:cNvSpPr>
          <a:spLocks/>
        </xdr:cNvSpPr>
      </xdr:nvSpPr>
      <xdr:spPr>
        <a:xfrm>
          <a:off x="7772400" y="20574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24</xdr:col>
      <xdr:colOff>0</xdr:colOff>
      <xdr:row>15</xdr:row>
      <xdr:rowOff>0</xdr:rowOff>
    </xdr:to>
    <xdr:sp>
      <xdr:nvSpPr>
        <xdr:cNvPr id="2" name="Line 70"/>
        <xdr:cNvSpPr>
          <a:spLocks/>
        </xdr:cNvSpPr>
      </xdr:nvSpPr>
      <xdr:spPr>
        <a:xfrm flipH="1">
          <a:off x="6800850" y="2057400"/>
          <a:ext cx="9715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24</xdr:col>
      <xdr:colOff>0</xdr:colOff>
      <xdr:row>15</xdr:row>
      <xdr:rowOff>0</xdr:rowOff>
    </xdr:to>
    <xdr:sp>
      <xdr:nvSpPr>
        <xdr:cNvPr id="3" name="Line 71"/>
        <xdr:cNvSpPr>
          <a:spLocks/>
        </xdr:cNvSpPr>
      </xdr:nvSpPr>
      <xdr:spPr>
        <a:xfrm>
          <a:off x="6800850" y="3429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285750</xdr:colOff>
      <xdr:row>25</xdr:row>
      <xdr:rowOff>152400</xdr:rowOff>
    </xdr:from>
    <xdr:to>
      <xdr:col>12</xdr:col>
      <xdr:colOff>38100</xdr:colOff>
      <xdr:row>42</xdr:row>
      <xdr:rowOff>152400</xdr:rowOff>
    </xdr:to>
    <xdr:sp>
      <xdr:nvSpPr>
        <xdr:cNvPr id="4" name="Rectangle 346"/>
        <xdr:cNvSpPr>
          <a:spLocks/>
        </xdr:cNvSpPr>
      </xdr:nvSpPr>
      <xdr:spPr>
        <a:xfrm rot="20017606">
          <a:off x="3848100" y="5867400"/>
          <a:ext cx="76200" cy="388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228600</xdr:colOff>
      <xdr:row>40</xdr:row>
      <xdr:rowOff>219075</xdr:rowOff>
    </xdr:from>
    <xdr:to>
      <xdr:col>21</xdr:col>
      <xdr:colOff>28575</xdr:colOff>
      <xdr:row>40</xdr:row>
      <xdr:rowOff>219075</xdr:rowOff>
    </xdr:to>
    <xdr:sp>
      <xdr:nvSpPr>
        <xdr:cNvPr id="5" name="Line 347"/>
        <xdr:cNvSpPr>
          <a:spLocks/>
        </xdr:cNvSpPr>
      </xdr:nvSpPr>
      <xdr:spPr>
        <a:xfrm>
          <a:off x="4762500" y="9363075"/>
          <a:ext cx="206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228600</xdr:colOff>
      <xdr:row>41</xdr:row>
      <xdr:rowOff>57150</xdr:rowOff>
    </xdr:from>
    <xdr:to>
      <xdr:col>21</xdr:col>
      <xdr:colOff>28575</xdr:colOff>
      <xdr:row>41</xdr:row>
      <xdr:rowOff>57150</xdr:rowOff>
    </xdr:to>
    <xdr:sp>
      <xdr:nvSpPr>
        <xdr:cNvPr id="6" name="Line 348"/>
        <xdr:cNvSpPr>
          <a:spLocks/>
        </xdr:cNvSpPr>
      </xdr:nvSpPr>
      <xdr:spPr>
        <a:xfrm flipV="1">
          <a:off x="4762500" y="9429750"/>
          <a:ext cx="206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228600</xdr:colOff>
      <xdr:row>40</xdr:row>
      <xdr:rowOff>219075</xdr:rowOff>
    </xdr:from>
    <xdr:to>
      <xdr:col>14</xdr:col>
      <xdr:colOff>228600</xdr:colOff>
      <xdr:row>41</xdr:row>
      <xdr:rowOff>47625</xdr:rowOff>
    </xdr:to>
    <xdr:sp>
      <xdr:nvSpPr>
        <xdr:cNvPr id="7" name="Line 349"/>
        <xdr:cNvSpPr>
          <a:spLocks/>
        </xdr:cNvSpPr>
      </xdr:nvSpPr>
      <xdr:spPr>
        <a:xfrm>
          <a:off x="4762500" y="93630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38100</xdr:colOff>
      <xdr:row>40</xdr:row>
      <xdr:rowOff>142875</xdr:rowOff>
    </xdr:from>
    <xdr:to>
      <xdr:col>15</xdr:col>
      <xdr:colOff>133350</xdr:colOff>
      <xdr:row>40</xdr:row>
      <xdr:rowOff>219075</xdr:rowOff>
    </xdr:to>
    <xdr:sp>
      <xdr:nvSpPr>
        <xdr:cNvPr id="8" name="Oval 350"/>
        <xdr:cNvSpPr>
          <a:spLocks/>
        </xdr:cNvSpPr>
      </xdr:nvSpPr>
      <xdr:spPr>
        <a:xfrm flipH="1">
          <a:off x="4895850" y="92868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95250</xdr:colOff>
      <xdr:row>36</xdr:row>
      <xdr:rowOff>38100</xdr:rowOff>
    </xdr:to>
    <xdr:sp>
      <xdr:nvSpPr>
        <xdr:cNvPr id="9" name="Oval 351"/>
        <xdr:cNvSpPr>
          <a:spLocks/>
        </xdr:cNvSpPr>
      </xdr:nvSpPr>
      <xdr:spPr>
        <a:xfrm>
          <a:off x="4210050" y="8191500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180975</xdr:rowOff>
    </xdr:from>
    <xdr:to>
      <xdr:col>9</xdr:col>
      <xdr:colOff>95250</xdr:colOff>
      <xdr:row>27</xdr:row>
      <xdr:rowOff>28575</xdr:rowOff>
    </xdr:to>
    <xdr:sp>
      <xdr:nvSpPr>
        <xdr:cNvPr id="10" name="Oval 352"/>
        <xdr:cNvSpPr>
          <a:spLocks/>
        </xdr:cNvSpPr>
      </xdr:nvSpPr>
      <xdr:spPr>
        <a:xfrm>
          <a:off x="2914650" y="61245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104775</xdr:rowOff>
    </xdr:from>
    <xdr:to>
      <xdr:col>11</xdr:col>
      <xdr:colOff>95250</xdr:colOff>
      <xdr:row>31</xdr:row>
      <xdr:rowOff>180975</xdr:rowOff>
    </xdr:to>
    <xdr:sp>
      <xdr:nvSpPr>
        <xdr:cNvPr id="11" name="Oval 353"/>
        <xdr:cNvSpPr>
          <a:spLocks/>
        </xdr:cNvSpPr>
      </xdr:nvSpPr>
      <xdr:spPr>
        <a:xfrm>
          <a:off x="3562350" y="7191375"/>
          <a:ext cx="95250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85725</xdr:colOff>
      <xdr:row>30</xdr:row>
      <xdr:rowOff>104775</xdr:rowOff>
    </xdr:from>
    <xdr:to>
      <xdr:col>15</xdr:col>
      <xdr:colOff>285750</xdr:colOff>
      <xdr:row>35</xdr:row>
      <xdr:rowOff>200025</xdr:rowOff>
    </xdr:to>
    <xdr:sp>
      <xdr:nvSpPr>
        <xdr:cNvPr id="12" name="Line 354"/>
        <xdr:cNvSpPr>
          <a:spLocks/>
        </xdr:cNvSpPr>
      </xdr:nvSpPr>
      <xdr:spPr>
        <a:xfrm flipH="1">
          <a:off x="4295775" y="6962775"/>
          <a:ext cx="847725" cy="1238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219075</xdr:rowOff>
    </xdr:from>
    <xdr:to>
      <xdr:col>12</xdr:col>
      <xdr:colOff>0</xdr:colOff>
      <xdr:row>44</xdr:row>
      <xdr:rowOff>219075</xdr:rowOff>
    </xdr:to>
    <xdr:sp>
      <xdr:nvSpPr>
        <xdr:cNvPr id="13" name="Line 355"/>
        <xdr:cNvSpPr>
          <a:spLocks/>
        </xdr:cNvSpPr>
      </xdr:nvSpPr>
      <xdr:spPr>
        <a:xfrm>
          <a:off x="3886200" y="8905875"/>
          <a:ext cx="0" cy="13716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85725</xdr:colOff>
      <xdr:row>41</xdr:row>
      <xdr:rowOff>28575</xdr:rowOff>
    </xdr:from>
    <xdr:to>
      <xdr:col>15</xdr:col>
      <xdr:colOff>85725</xdr:colOff>
      <xdr:row>45</xdr:row>
      <xdr:rowOff>0</xdr:rowOff>
    </xdr:to>
    <xdr:sp>
      <xdr:nvSpPr>
        <xdr:cNvPr id="14" name="Line 356"/>
        <xdr:cNvSpPr>
          <a:spLocks/>
        </xdr:cNvSpPr>
      </xdr:nvSpPr>
      <xdr:spPr>
        <a:xfrm>
          <a:off x="4943475" y="9401175"/>
          <a:ext cx="0" cy="8858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219075</xdr:rowOff>
    </xdr:from>
    <xdr:to>
      <xdr:col>15</xdr:col>
      <xdr:colOff>57150</xdr:colOff>
      <xdr:row>44</xdr:row>
      <xdr:rowOff>219075</xdr:rowOff>
    </xdr:to>
    <xdr:sp>
      <xdr:nvSpPr>
        <xdr:cNvPr id="15" name="Line 357"/>
        <xdr:cNvSpPr>
          <a:spLocks/>
        </xdr:cNvSpPr>
      </xdr:nvSpPr>
      <xdr:spPr>
        <a:xfrm>
          <a:off x="3886200" y="10277475"/>
          <a:ext cx="10287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57150</xdr:colOff>
      <xdr:row>29</xdr:row>
      <xdr:rowOff>219075</xdr:rowOff>
    </xdr:from>
    <xdr:to>
      <xdr:col>15</xdr:col>
      <xdr:colOff>285750</xdr:colOff>
      <xdr:row>29</xdr:row>
      <xdr:rowOff>219075</xdr:rowOff>
    </xdr:to>
    <xdr:sp>
      <xdr:nvSpPr>
        <xdr:cNvPr id="16" name="Line 358"/>
        <xdr:cNvSpPr>
          <a:spLocks/>
        </xdr:cNvSpPr>
      </xdr:nvSpPr>
      <xdr:spPr>
        <a:xfrm>
          <a:off x="4267200" y="6848475"/>
          <a:ext cx="876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219075</xdr:rowOff>
    </xdr:from>
    <xdr:to>
      <xdr:col>14</xdr:col>
      <xdr:colOff>0</xdr:colOff>
      <xdr:row>40</xdr:row>
      <xdr:rowOff>219075</xdr:rowOff>
    </xdr:to>
    <xdr:sp>
      <xdr:nvSpPr>
        <xdr:cNvPr id="17" name="Line 359"/>
        <xdr:cNvSpPr>
          <a:spLocks/>
        </xdr:cNvSpPr>
      </xdr:nvSpPr>
      <xdr:spPr>
        <a:xfrm flipH="1">
          <a:off x="1295400" y="9363075"/>
          <a:ext cx="32385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219075</xdr:rowOff>
    </xdr:from>
    <xdr:to>
      <xdr:col>8</xdr:col>
      <xdr:colOff>152400</xdr:colOff>
      <xdr:row>26</xdr:row>
      <xdr:rowOff>219075</xdr:rowOff>
    </xdr:to>
    <xdr:sp>
      <xdr:nvSpPr>
        <xdr:cNvPr id="18" name="Line 360"/>
        <xdr:cNvSpPr>
          <a:spLocks/>
        </xdr:cNvSpPr>
      </xdr:nvSpPr>
      <xdr:spPr>
        <a:xfrm flipH="1">
          <a:off x="1619250" y="6162675"/>
          <a:ext cx="11239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219075</xdr:rowOff>
    </xdr:from>
    <xdr:to>
      <xdr:col>5</xdr:col>
      <xdr:colOff>0</xdr:colOff>
      <xdr:row>40</xdr:row>
      <xdr:rowOff>219075</xdr:rowOff>
    </xdr:to>
    <xdr:sp>
      <xdr:nvSpPr>
        <xdr:cNvPr id="19" name="Line 361"/>
        <xdr:cNvSpPr>
          <a:spLocks/>
        </xdr:cNvSpPr>
      </xdr:nvSpPr>
      <xdr:spPr>
        <a:xfrm>
          <a:off x="1619250" y="6162675"/>
          <a:ext cx="0" cy="32004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85725</xdr:colOff>
      <xdr:row>30</xdr:row>
      <xdr:rowOff>114300</xdr:rowOff>
    </xdr:from>
    <xdr:to>
      <xdr:col>22</xdr:col>
      <xdr:colOff>0</xdr:colOff>
      <xdr:row>30</xdr:row>
      <xdr:rowOff>114300</xdr:rowOff>
    </xdr:to>
    <xdr:sp>
      <xdr:nvSpPr>
        <xdr:cNvPr id="20" name="Line 362"/>
        <xdr:cNvSpPr>
          <a:spLocks/>
        </xdr:cNvSpPr>
      </xdr:nvSpPr>
      <xdr:spPr>
        <a:xfrm>
          <a:off x="5267325" y="6972300"/>
          <a:ext cx="1857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238125</xdr:colOff>
      <xdr:row>35</xdr:row>
      <xdr:rowOff>219075</xdr:rowOff>
    </xdr:from>
    <xdr:to>
      <xdr:col>22</xdr:col>
      <xdr:colOff>0</xdr:colOff>
      <xdr:row>35</xdr:row>
      <xdr:rowOff>219075</xdr:rowOff>
    </xdr:to>
    <xdr:sp>
      <xdr:nvSpPr>
        <xdr:cNvPr id="21" name="Line 363"/>
        <xdr:cNvSpPr>
          <a:spLocks/>
        </xdr:cNvSpPr>
      </xdr:nvSpPr>
      <xdr:spPr>
        <a:xfrm>
          <a:off x="4448175" y="8220075"/>
          <a:ext cx="26765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133350</xdr:colOff>
      <xdr:row>38</xdr:row>
      <xdr:rowOff>66675</xdr:rowOff>
    </xdr:from>
    <xdr:to>
      <xdr:col>20</xdr:col>
      <xdr:colOff>133350</xdr:colOff>
      <xdr:row>38</xdr:row>
      <xdr:rowOff>114300</xdr:rowOff>
    </xdr:to>
    <xdr:sp>
      <xdr:nvSpPr>
        <xdr:cNvPr id="22" name="Rectangle 364"/>
        <xdr:cNvSpPr>
          <a:spLocks/>
        </xdr:cNvSpPr>
      </xdr:nvSpPr>
      <xdr:spPr>
        <a:xfrm>
          <a:off x="5962650" y="8753475"/>
          <a:ext cx="6477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85725</xdr:colOff>
      <xdr:row>31</xdr:row>
      <xdr:rowOff>104775</xdr:rowOff>
    </xdr:from>
    <xdr:to>
      <xdr:col>19</xdr:col>
      <xdr:colOff>123825</xdr:colOff>
      <xdr:row>38</xdr:row>
      <xdr:rowOff>57150</xdr:rowOff>
    </xdr:to>
    <xdr:sp>
      <xdr:nvSpPr>
        <xdr:cNvPr id="23" name="Rectangle 365"/>
        <xdr:cNvSpPr>
          <a:spLocks/>
        </xdr:cNvSpPr>
      </xdr:nvSpPr>
      <xdr:spPr>
        <a:xfrm>
          <a:off x="6238875" y="7191375"/>
          <a:ext cx="3810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190500</xdr:colOff>
      <xdr:row>31</xdr:row>
      <xdr:rowOff>66675</xdr:rowOff>
    </xdr:from>
    <xdr:to>
      <xdr:col>20</xdr:col>
      <xdr:colOff>28575</xdr:colOff>
      <xdr:row>31</xdr:row>
      <xdr:rowOff>104775</xdr:rowOff>
    </xdr:to>
    <xdr:sp>
      <xdr:nvSpPr>
        <xdr:cNvPr id="24" name="Rectangle 366"/>
        <xdr:cNvSpPr>
          <a:spLocks/>
        </xdr:cNvSpPr>
      </xdr:nvSpPr>
      <xdr:spPr>
        <a:xfrm>
          <a:off x="6019800" y="7153275"/>
          <a:ext cx="48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219075</xdr:rowOff>
    </xdr:from>
    <xdr:to>
      <xdr:col>22</xdr:col>
      <xdr:colOff>0</xdr:colOff>
      <xdr:row>35</xdr:row>
      <xdr:rowOff>219075</xdr:rowOff>
    </xdr:to>
    <xdr:sp>
      <xdr:nvSpPr>
        <xdr:cNvPr id="25" name="Line 367"/>
        <xdr:cNvSpPr>
          <a:spLocks/>
        </xdr:cNvSpPr>
      </xdr:nvSpPr>
      <xdr:spPr>
        <a:xfrm>
          <a:off x="7124700" y="7762875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38100</xdr:colOff>
      <xdr:row>36</xdr:row>
      <xdr:rowOff>95250</xdr:rowOff>
    </xdr:from>
    <xdr:to>
      <xdr:col>13</xdr:col>
      <xdr:colOff>38100</xdr:colOff>
      <xdr:row>44</xdr:row>
      <xdr:rowOff>0</xdr:rowOff>
    </xdr:to>
    <xdr:sp>
      <xdr:nvSpPr>
        <xdr:cNvPr id="26" name="Line 368"/>
        <xdr:cNvSpPr>
          <a:spLocks/>
        </xdr:cNvSpPr>
      </xdr:nvSpPr>
      <xdr:spPr>
        <a:xfrm>
          <a:off x="4248150" y="8324850"/>
          <a:ext cx="0" cy="1733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57150</xdr:colOff>
      <xdr:row>29</xdr:row>
      <xdr:rowOff>161925</xdr:rowOff>
    </xdr:from>
    <xdr:to>
      <xdr:col>13</xdr:col>
      <xdr:colOff>57150</xdr:colOff>
      <xdr:row>35</xdr:row>
      <xdr:rowOff>133350</xdr:rowOff>
    </xdr:to>
    <xdr:sp>
      <xdr:nvSpPr>
        <xdr:cNvPr id="27" name="Line 369"/>
        <xdr:cNvSpPr>
          <a:spLocks/>
        </xdr:cNvSpPr>
      </xdr:nvSpPr>
      <xdr:spPr>
        <a:xfrm>
          <a:off x="4267200" y="6791325"/>
          <a:ext cx="0" cy="1343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114300</xdr:rowOff>
    </xdr:from>
    <xdr:to>
      <xdr:col>22</xdr:col>
      <xdr:colOff>0</xdr:colOff>
      <xdr:row>33</xdr:row>
      <xdr:rowOff>219075</xdr:rowOff>
    </xdr:to>
    <xdr:sp>
      <xdr:nvSpPr>
        <xdr:cNvPr id="28" name="Line 370"/>
        <xdr:cNvSpPr>
          <a:spLocks/>
        </xdr:cNvSpPr>
      </xdr:nvSpPr>
      <xdr:spPr>
        <a:xfrm flipV="1">
          <a:off x="7124700" y="6972300"/>
          <a:ext cx="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219075</xdr:rowOff>
    </xdr:from>
    <xdr:to>
      <xdr:col>15</xdr:col>
      <xdr:colOff>57150</xdr:colOff>
      <xdr:row>43</xdr:row>
      <xdr:rowOff>219075</xdr:rowOff>
    </xdr:to>
    <xdr:sp>
      <xdr:nvSpPr>
        <xdr:cNvPr id="29" name="Line 371"/>
        <xdr:cNvSpPr>
          <a:spLocks/>
        </xdr:cNvSpPr>
      </xdr:nvSpPr>
      <xdr:spPr>
        <a:xfrm>
          <a:off x="4210050" y="1004887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219075</xdr:rowOff>
    </xdr:from>
    <xdr:to>
      <xdr:col>12</xdr:col>
      <xdr:colOff>38100</xdr:colOff>
      <xdr:row>35</xdr:row>
      <xdr:rowOff>219075</xdr:rowOff>
    </xdr:to>
    <xdr:sp>
      <xdr:nvSpPr>
        <xdr:cNvPr id="30" name="Line 372"/>
        <xdr:cNvSpPr>
          <a:spLocks/>
        </xdr:cNvSpPr>
      </xdr:nvSpPr>
      <xdr:spPr>
        <a:xfrm flipH="1">
          <a:off x="1943100" y="8220075"/>
          <a:ext cx="1981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142875</xdr:rowOff>
    </xdr:from>
    <xdr:to>
      <xdr:col>7</xdr:col>
      <xdr:colOff>0</xdr:colOff>
      <xdr:row>31</xdr:row>
      <xdr:rowOff>142875</xdr:rowOff>
    </xdr:to>
    <xdr:sp>
      <xdr:nvSpPr>
        <xdr:cNvPr id="31" name="Line 373"/>
        <xdr:cNvSpPr>
          <a:spLocks/>
        </xdr:cNvSpPr>
      </xdr:nvSpPr>
      <xdr:spPr>
        <a:xfrm flipH="1">
          <a:off x="1295400" y="7229475"/>
          <a:ext cx="9715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219075</xdr:rowOff>
    </xdr:from>
    <xdr:to>
      <xdr:col>6</xdr:col>
      <xdr:colOff>0</xdr:colOff>
      <xdr:row>35</xdr:row>
      <xdr:rowOff>219075</xdr:rowOff>
    </xdr:to>
    <xdr:sp>
      <xdr:nvSpPr>
        <xdr:cNvPr id="32" name="Line 374"/>
        <xdr:cNvSpPr>
          <a:spLocks/>
        </xdr:cNvSpPr>
      </xdr:nvSpPr>
      <xdr:spPr>
        <a:xfrm flipV="1">
          <a:off x="1943100" y="6162675"/>
          <a:ext cx="0" cy="20574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133350</xdr:rowOff>
    </xdr:from>
    <xdr:to>
      <xdr:col>4</xdr:col>
      <xdr:colOff>0</xdr:colOff>
      <xdr:row>41</xdr:row>
      <xdr:rowOff>0</xdr:rowOff>
    </xdr:to>
    <xdr:sp>
      <xdr:nvSpPr>
        <xdr:cNvPr id="33" name="Line 375"/>
        <xdr:cNvSpPr>
          <a:spLocks/>
        </xdr:cNvSpPr>
      </xdr:nvSpPr>
      <xdr:spPr>
        <a:xfrm>
          <a:off x="1295400" y="7219950"/>
          <a:ext cx="0" cy="215265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219075</xdr:rowOff>
    </xdr:from>
    <xdr:to>
      <xdr:col>6</xdr:col>
      <xdr:colOff>0</xdr:colOff>
      <xdr:row>41</xdr:row>
      <xdr:rowOff>9525</xdr:rowOff>
    </xdr:to>
    <xdr:sp>
      <xdr:nvSpPr>
        <xdr:cNvPr id="34" name="Line 376"/>
        <xdr:cNvSpPr>
          <a:spLocks/>
        </xdr:cNvSpPr>
      </xdr:nvSpPr>
      <xdr:spPr>
        <a:xfrm>
          <a:off x="1943100" y="8220075"/>
          <a:ext cx="0" cy="116205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142875</xdr:colOff>
      <xdr:row>31</xdr:row>
      <xdr:rowOff>142875</xdr:rowOff>
    </xdr:from>
    <xdr:to>
      <xdr:col>11</xdr:col>
      <xdr:colOff>238125</xdr:colOff>
      <xdr:row>31</xdr:row>
      <xdr:rowOff>142875</xdr:rowOff>
    </xdr:to>
    <xdr:sp>
      <xdr:nvSpPr>
        <xdr:cNvPr id="35" name="Line 377"/>
        <xdr:cNvSpPr>
          <a:spLocks/>
        </xdr:cNvSpPr>
      </xdr:nvSpPr>
      <xdr:spPr>
        <a:xfrm flipH="1">
          <a:off x="2733675" y="7229475"/>
          <a:ext cx="10668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114300</xdr:rowOff>
    </xdr:from>
    <xdr:to>
      <xdr:col>12</xdr:col>
      <xdr:colOff>0</xdr:colOff>
      <xdr:row>37</xdr:row>
      <xdr:rowOff>180975</xdr:rowOff>
    </xdr:to>
    <xdr:sp>
      <xdr:nvSpPr>
        <xdr:cNvPr id="36" name="Line 378"/>
        <xdr:cNvSpPr>
          <a:spLocks/>
        </xdr:cNvSpPr>
      </xdr:nvSpPr>
      <xdr:spPr>
        <a:xfrm>
          <a:off x="3886200" y="7886700"/>
          <a:ext cx="0" cy="752475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190500</xdr:colOff>
      <xdr:row>26</xdr:row>
      <xdr:rowOff>219075</xdr:rowOff>
    </xdr:from>
    <xdr:to>
      <xdr:col>11</xdr:col>
      <xdr:colOff>38100</xdr:colOff>
      <xdr:row>26</xdr:row>
      <xdr:rowOff>219075</xdr:rowOff>
    </xdr:to>
    <xdr:sp>
      <xdr:nvSpPr>
        <xdr:cNvPr id="37" name="Line 379"/>
        <xdr:cNvSpPr>
          <a:spLocks/>
        </xdr:cNvSpPr>
      </xdr:nvSpPr>
      <xdr:spPr>
        <a:xfrm>
          <a:off x="3105150" y="616267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38100</xdr:colOff>
      <xdr:row>26</xdr:row>
      <xdr:rowOff>219075</xdr:rowOff>
    </xdr:from>
    <xdr:to>
      <xdr:col>15</xdr:col>
      <xdr:colOff>57150</xdr:colOff>
      <xdr:row>35</xdr:row>
      <xdr:rowOff>219075</xdr:rowOff>
    </xdr:to>
    <xdr:sp>
      <xdr:nvSpPr>
        <xdr:cNvPr id="38" name="Line 380"/>
        <xdr:cNvSpPr>
          <a:spLocks/>
        </xdr:cNvSpPr>
      </xdr:nvSpPr>
      <xdr:spPr>
        <a:xfrm>
          <a:off x="3600450" y="6162675"/>
          <a:ext cx="1314450" cy="2057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190500</xdr:colOff>
      <xdr:row>26</xdr:row>
      <xdr:rowOff>219075</xdr:rowOff>
    </xdr:from>
    <xdr:to>
      <xdr:col>13</xdr:col>
      <xdr:colOff>219075</xdr:colOff>
      <xdr:row>35</xdr:row>
      <xdr:rowOff>219075</xdr:rowOff>
    </xdr:to>
    <xdr:sp>
      <xdr:nvSpPr>
        <xdr:cNvPr id="39" name="Line 381"/>
        <xdr:cNvSpPr>
          <a:spLocks/>
        </xdr:cNvSpPr>
      </xdr:nvSpPr>
      <xdr:spPr>
        <a:xfrm>
          <a:off x="3105150" y="6162675"/>
          <a:ext cx="1323975" cy="2057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28575</xdr:colOff>
      <xdr:row>27</xdr:row>
      <xdr:rowOff>219075</xdr:rowOff>
    </xdr:from>
    <xdr:to>
      <xdr:col>11</xdr:col>
      <xdr:colOff>190500</xdr:colOff>
      <xdr:row>27</xdr:row>
      <xdr:rowOff>219075</xdr:rowOff>
    </xdr:to>
    <xdr:sp>
      <xdr:nvSpPr>
        <xdr:cNvPr id="40" name="Line 382"/>
        <xdr:cNvSpPr>
          <a:spLocks/>
        </xdr:cNvSpPr>
      </xdr:nvSpPr>
      <xdr:spPr>
        <a:xfrm>
          <a:off x="3267075" y="63912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171450</xdr:colOff>
      <xdr:row>28</xdr:row>
      <xdr:rowOff>219075</xdr:rowOff>
    </xdr:from>
    <xdr:to>
      <xdr:col>12</xdr:col>
      <xdr:colOff>9525</xdr:colOff>
      <xdr:row>28</xdr:row>
      <xdr:rowOff>219075</xdr:rowOff>
    </xdr:to>
    <xdr:sp>
      <xdr:nvSpPr>
        <xdr:cNvPr id="41" name="Line 383"/>
        <xdr:cNvSpPr>
          <a:spLocks/>
        </xdr:cNvSpPr>
      </xdr:nvSpPr>
      <xdr:spPr>
        <a:xfrm>
          <a:off x="3409950" y="66198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314325</xdr:colOff>
      <xdr:row>29</xdr:row>
      <xdr:rowOff>219075</xdr:rowOff>
    </xdr:from>
    <xdr:to>
      <xdr:col>12</xdr:col>
      <xdr:colOff>152400</xdr:colOff>
      <xdr:row>29</xdr:row>
      <xdr:rowOff>219075</xdr:rowOff>
    </xdr:to>
    <xdr:sp>
      <xdr:nvSpPr>
        <xdr:cNvPr id="42" name="Line 384"/>
        <xdr:cNvSpPr>
          <a:spLocks/>
        </xdr:cNvSpPr>
      </xdr:nvSpPr>
      <xdr:spPr>
        <a:xfrm>
          <a:off x="3552825" y="68484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123825</xdr:colOff>
      <xdr:row>30</xdr:row>
      <xdr:rowOff>219075</xdr:rowOff>
    </xdr:from>
    <xdr:to>
      <xdr:col>12</xdr:col>
      <xdr:colOff>285750</xdr:colOff>
      <xdr:row>30</xdr:row>
      <xdr:rowOff>219075</xdr:rowOff>
    </xdr:to>
    <xdr:sp>
      <xdr:nvSpPr>
        <xdr:cNvPr id="43" name="Line 385"/>
        <xdr:cNvSpPr>
          <a:spLocks/>
        </xdr:cNvSpPr>
      </xdr:nvSpPr>
      <xdr:spPr>
        <a:xfrm>
          <a:off x="3686175" y="70770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285750</xdr:colOff>
      <xdr:row>31</xdr:row>
      <xdr:rowOff>219075</xdr:rowOff>
    </xdr:from>
    <xdr:to>
      <xdr:col>13</xdr:col>
      <xdr:colOff>133350</xdr:colOff>
      <xdr:row>31</xdr:row>
      <xdr:rowOff>219075</xdr:rowOff>
    </xdr:to>
    <xdr:sp>
      <xdr:nvSpPr>
        <xdr:cNvPr id="44" name="Line 386"/>
        <xdr:cNvSpPr>
          <a:spLocks/>
        </xdr:cNvSpPr>
      </xdr:nvSpPr>
      <xdr:spPr>
        <a:xfrm>
          <a:off x="3848100" y="730567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104775</xdr:colOff>
      <xdr:row>32</xdr:row>
      <xdr:rowOff>219075</xdr:rowOff>
    </xdr:from>
    <xdr:to>
      <xdr:col>13</xdr:col>
      <xdr:colOff>276225</xdr:colOff>
      <xdr:row>32</xdr:row>
      <xdr:rowOff>219075</xdr:rowOff>
    </xdr:to>
    <xdr:sp>
      <xdr:nvSpPr>
        <xdr:cNvPr id="45" name="Line 387"/>
        <xdr:cNvSpPr>
          <a:spLocks/>
        </xdr:cNvSpPr>
      </xdr:nvSpPr>
      <xdr:spPr>
        <a:xfrm>
          <a:off x="3990975" y="753427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238125</xdr:colOff>
      <xdr:row>33</xdr:row>
      <xdr:rowOff>219075</xdr:rowOff>
    </xdr:from>
    <xdr:to>
      <xdr:col>14</xdr:col>
      <xdr:colOff>85725</xdr:colOff>
      <xdr:row>33</xdr:row>
      <xdr:rowOff>219075</xdr:rowOff>
    </xdr:to>
    <xdr:sp>
      <xdr:nvSpPr>
        <xdr:cNvPr id="46" name="Line 388"/>
        <xdr:cNvSpPr>
          <a:spLocks/>
        </xdr:cNvSpPr>
      </xdr:nvSpPr>
      <xdr:spPr>
        <a:xfrm>
          <a:off x="4124325" y="776287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76200</xdr:colOff>
      <xdr:row>34</xdr:row>
      <xdr:rowOff>219075</xdr:rowOff>
    </xdr:from>
    <xdr:to>
      <xdr:col>14</xdr:col>
      <xdr:colOff>238125</xdr:colOff>
      <xdr:row>34</xdr:row>
      <xdr:rowOff>219075</xdr:rowOff>
    </xdr:to>
    <xdr:sp>
      <xdr:nvSpPr>
        <xdr:cNvPr id="47" name="Line 389"/>
        <xdr:cNvSpPr>
          <a:spLocks/>
        </xdr:cNvSpPr>
      </xdr:nvSpPr>
      <xdr:spPr>
        <a:xfrm>
          <a:off x="4286250" y="79914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219075</xdr:colOff>
      <xdr:row>35</xdr:row>
      <xdr:rowOff>219075</xdr:rowOff>
    </xdr:from>
    <xdr:to>
      <xdr:col>15</xdr:col>
      <xdr:colOff>57150</xdr:colOff>
      <xdr:row>35</xdr:row>
      <xdr:rowOff>219075</xdr:rowOff>
    </xdr:to>
    <xdr:sp>
      <xdr:nvSpPr>
        <xdr:cNvPr id="48" name="Line 390"/>
        <xdr:cNvSpPr>
          <a:spLocks/>
        </xdr:cNvSpPr>
      </xdr:nvSpPr>
      <xdr:spPr>
        <a:xfrm>
          <a:off x="4429125" y="82200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276225</xdr:colOff>
      <xdr:row>27</xdr:row>
      <xdr:rowOff>114300</xdr:rowOff>
    </xdr:from>
    <xdr:to>
      <xdr:col>11</xdr:col>
      <xdr:colOff>123825</xdr:colOff>
      <xdr:row>27</xdr:row>
      <xdr:rowOff>114300</xdr:rowOff>
    </xdr:to>
    <xdr:sp>
      <xdr:nvSpPr>
        <xdr:cNvPr id="49" name="Line 391"/>
        <xdr:cNvSpPr>
          <a:spLocks/>
        </xdr:cNvSpPr>
      </xdr:nvSpPr>
      <xdr:spPr>
        <a:xfrm>
          <a:off x="3190875" y="62865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114300</xdr:rowOff>
    </xdr:from>
    <xdr:to>
      <xdr:col>11</xdr:col>
      <xdr:colOff>247650</xdr:colOff>
      <xdr:row>28</xdr:row>
      <xdr:rowOff>114300</xdr:rowOff>
    </xdr:to>
    <xdr:sp>
      <xdr:nvSpPr>
        <xdr:cNvPr id="50" name="Line 392"/>
        <xdr:cNvSpPr>
          <a:spLocks/>
        </xdr:cNvSpPr>
      </xdr:nvSpPr>
      <xdr:spPr>
        <a:xfrm>
          <a:off x="3324225" y="65151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228600</xdr:colOff>
      <xdr:row>29</xdr:row>
      <xdr:rowOff>114300</xdr:rowOff>
    </xdr:from>
    <xdr:to>
      <xdr:col>12</xdr:col>
      <xdr:colOff>76200</xdr:colOff>
      <xdr:row>29</xdr:row>
      <xdr:rowOff>114300</xdr:rowOff>
    </xdr:to>
    <xdr:sp>
      <xdr:nvSpPr>
        <xdr:cNvPr id="51" name="Line 393"/>
        <xdr:cNvSpPr>
          <a:spLocks/>
        </xdr:cNvSpPr>
      </xdr:nvSpPr>
      <xdr:spPr>
        <a:xfrm>
          <a:off x="3467100" y="67437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114300</xdr:rowOff>
    </xdr:from>
    <xdr:to>
      <xdr:col>12</xdr:col>
      <xdr:colOff>219075</xdr:colOff>
      <xdr:row>30</xdr:row>
      <xdr:rowOff>114300</xdr:rowOff>
    </xdr:to>
    <xdr:sp>
      <xdr:nvSpPr>
        <xdr:cNvPr id="52" name="Line 394"/>
        <xdr:cNvSpPr>
          <a:spLocks/>
        </xdr:cNvSpPr>
      </xdr:nvSpPr>
      <xdr:spPr>
        <a:xfrm>
          <a:off x="3609975" y="69723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190500</xdr:colOff>
      <xdr:row>31</xdr:row>
      <xdr:rowOff>114300</xdr:rowOff>
    </xdr:from>
    <xdr:to>
      <xdr:col>13</xdr:col>
      <xdr:colOff>38100</xdr:colOff>
      <xdr:row>31</xdr:row>
      <xdr:rowOff>114300</xdr:rowOff>
    </xdr:to>
    <xdr:sp>
      <xdr:nvSpPr>
        <xdr:cNvPr id="53" name="Line 395"/>
        <xdr:cNvSpPr>
          <a:spLocks/>
        </xdr:cNvSpPr>
      </xdr:nvSpPr>
      <xdr:spPr>
        <a:xfrm>
          <a:off x="3752850" y="72009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38100</xdr:colOff>
      <xdr:row>32</xdr:row>
      <xdr:rowOff>114300</xdr:rowOff>
    </xdr:from>
    <xdr:to>
      <xdr:col>13</xdr:col>
      <xdr:colOff>200025</xdr:colOff>
      <xdr:row>32</xdr:row>
      <xdr:rowOff>114300</xdr:rowOff>
    </xdr:to>
    <xdr:sp>
      <xdr:nvSpPr>
        <xdr:cNvPr id="54" name="Line 396"/>
        <xdr:cNvSpPr>
          <a:spLocks/>
        </xdr:cNvSpPr>
      </xdr:nvSpPr>
      <xdr:spPr>
        <a:xfrm>
          <a:off x="3924300" y="74295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180975</xdr:colOff>
      <xdr:row>33</xdr:row>
      <xdr:rowOff>114300</xdr:rowOff>
    </xdr:from>
    <xdr:to>
      <xdr:col>14</xdr:col>
      <xdr:colOff>28575</xdr:colOff>
      <xdr:row>33</xdr:row>
      <xdr:rowOff>114300</xdr:rowOff>
    </xdr:to>
    <xdr:sp>
      <xdr:nvSpPr>
        <xdr:cNvPr id="55" name="Line 397"/>
        <xdr:cNvSpPr>
          <a:spLocks/>
        </xdr:cNvSpPr>
      </xdr:nvSpPr>
      <xdr:spPr>
        <a:xfrm>
          <a:off x="4067175" y="76581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114300</xdr:rowOff>
    </xdr:from>
    <xdr:to>
      <xdr:col>14</xdr:col>
      <xdr:colOff>171450</xdr:colOff>
      <xdr:row>34</xdr:row>
      <xdr:rowOff>114300</xdr:rowOff>
    </xdr:to>
    <xdr:sp>
      <xdr:nvSpPr>
        <xdr:cNvPr id="56" name="Line 398"/>
        <xdr:cNvSpPr>
          <a:spLocks/>
        </xdr:cNvSpPr>
      </xdr:nvSpPr>
      <xdr:spPr>
        <a:xfrm>
          <a:off x="4210050" y="78867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142875</xdr:colOff>
      <xdr:row>35</xdr:row>
      <xdr:rowOff>114300</xdr:rowOff>
    </xdr:from>
    <xdr:to>
      <xdr:col>14</xdr:col>
      <xdr:colOff>314325</xdr:colOff>
      <xdr:row>35</xdr:row>
      <xdr:rowOff>114300</xdr:rowOff>
    </xdr:to>
    <xdr:sp>
      <xdr:nvSpPr>
        <xdr:cNvPr id="57" name="Line 399"/>
        <xdr:cNvSpPr>
          <a:spLocks/>
        </xdr:cNvSpPr>
      </xdr:nvSpPr>
      <xdr:spPr>
        <a:xfrm>
          <a:off x="4352925" y="81153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28575</xdr:colOff>
      <xdr:row>28</xdr:row>
      <xdr:rowOff>47625</xdr:rowOff>
    </xdr:from>
    <xdr:to>
      <xdr:col>15</xdr:col>
      <xdr:colOff>152400</xdr:colOff>
      <xdr:row>31</xdr:row>
      <xdr:rowOff>66675</xdr:rowOff>
    </xdr:to>
    <xdr:sp>
      <xdr:nvSpPr>
        <xdr:cNvPr id="58" name="Line 400"/>
        <xdr:cNvSpPr>
          <a:spLocks/>
        </xdr:cNvSpPr>
      </xdr:nvSpPr>
      <xdr:spPr>
        <a:xfrm>
          <a:off x="4886325" y="6448425"/>
          <a:ext cx="133350" cy="704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15</xdr:col>
      <xdr:colOff>38100</xdr:colOff>
      <xdr:row>28</xdr:row>
      <xdr:rowOff>47625</xdr:rowOff>
    </xdr:from>
    <xdr:to>
      <xdr:col>22</xdr:col>
      <xdr:colOff>47625</xdr:colOff>
      <xdr:row>28</xdr:row>
      <xdr:rowOff>47625</xdr:rowOff>
    </xdr:to>
    <xdr:sp>
      <xdr:nvSpPr>
        <xdr:cNvPr id="59" name="Line 401"/>
        <xdr:cNvSpPr>
          <a:spLocks/>
        </xdr:cNvSpPr>
      </xdr:nvSpPr>
      <xdr:spPr>
        <a:xfrm>
          <a:off x="4895850" y="6448425"/>
          <a:ext cx="22764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104775</xdr:colOff>
      <xdr:row>25</xdr:row>
      <xdr:rowOff>104775</xdr:rowOff>
    </xdr:from>
    <xdr:to>
      <xdr:col>12</xdr:col>
      <xdr:colOff>142875</xdr:colOff>
      <xdr:row>41</xdr:row>
      <xdr:rowOff>180975</xdr:rowOff>
    </xdr:to>
    <xdr:sp>
      <xdr:nvSpPr>
        <xdr:cNvPr id="60" name="Rectangle 403"/>
        <xdr:cNvSpPr>
          <a:spLocks/>
        </xdr:cNvSpPr>
      </xdr:nvSpPr>
      <xdr:spPr>
        <a:xfrm rot="20017606">
          <a:off x="3990975" y="5819775"/>
          <a:ext cx="38100" cy="3733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38100</xdr:colOff>
      <xdr:row>29</xdr:row>
      <xdr:rowOff>152400</xdr:rowOff>
    </xdr:from>
    <xdr:to>
      <xdr:col>22</xdr:col>
      <xdr:colOff>180975</xdr:colOff>
      <xdr:row>31</xdr:row>
      <xdr:rowOff>66675</xdr:rowOff>
    </xdr:to>
    <xdr:grpSp>
      <xdr:nvGrpSpPr>
        <xdr:cNvPr id="61" name="Group 408"/>
        <xdr:cNvGrpSpPr>
          <a:grpSpLocks/>
        </xdr:cNvGrpSpPr>
      </xdr:nvGrpSpPr>
      <xdr:grpSpPr>
        <a:xfrm>
          <a:off x="5219700" y="6781800"/>
          <a:ext cx="2085975" cy="371475"/>
          <a:chOff x="394" y="189"/>
          <a:chExt cx="174" cy="39"/>
        </a:xfrm>
        <a:solidFill>
          <a:srgbClr val="FFFFFF"/>
        </a:solidFill>
      </xdr:grpSpPr>
      <xdr:sp>
        <xdr:nvSpPr>
          <xdr:cNvPr id="62" name="Line 409"/>
          <xdr:cNvSpPr>
            <a:spLocks/>
          </xdr:cNvSpPr>
        </xdr:nvSpPr>
        <xdr:spPr>
          <a:xfrm>
            <a:off x="394" y="212"/>
            <a:ext cx="67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410"/>
          <xdr:cNvSpPr>
            <a:spLocks/>
          </xdr:cNvSpPr>
        </xdr:nvSpPr>
        <xdr:spPr>
          <a:xfrm flipV="1">
            <a:off x="501" y="220"/>
            <a:ext cx="24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411"/>
          <xdr:cNvSpPr>
            <a:spLocks/>
          </xdr:cNvSpPr>
        </xdr:nvSpPr>
        <xdr:spPr>
          <a:xfrm>
            <a:off x="525" y="220"/>
            <a:ext cx="4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412"/>
          <xdr:cNvSpPr>
            <a:spLocks/>
          </xdr:cNvSpPr>
        </xdr:nvSpPr>
        <xdr:spPr>
          <a:xfrm flipV="1">
            <a:off x="394" y="189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413"/>
          <xdr:cNvSpPr>
            <a:spLocks/>
          </xdr:cNvSpPr>
        </xdr:nvSpPr>
        <xdr:spPr>
          <a:xfrm>
            <a:off x="394" y="189"/>
            <a:ext cx="2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414"/>
          <xdr:cNvSpPr>
            <a:spLocks/>
          </xdr:cNvSpPr>
        </xdr:nvSpPr>
        <xdr:spPr>
          <a:xfrm>
            <a:off x="416" y="189"/>
            <a:ext cx="0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415"/>
          <xdr:cNvSpPr>
            <a:spLocks/>
          </xdr:cNvSpPr>
        </xdr:nvSpPr>
        <xdr:spPr>
          <a:xfrm>
            <a:off x="416" y="204"/>
            <a:ext cx="1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247650</xdr:colOff>
      <xdr:row>29</xdr:row>
      <xdr:rowOff>123825</xdr:rowOff>
    </xdr:from>
    <xdr:to>
      <xdr:col>17</xdr:col>
      <xdr:colOff>0</xdr:colOff>
      <xdr:row>30</xdr:row>
      <xdr:rowOff>142875</xdr:rowOff>
    </xdr:to>
    <xdr:grpSp>
      <xdr:nvGrpSpPr>
        <xdr:cNvPr id="69" name="Group 416"/>
        <xdr:cNvGrpSpPr>
          <a:grpSpLocks/>
        </xdr:cNvGrpSpPr>
      </xdr:nvGrpSpPr>
      <xdr:grpSpPr>
        <a:xfrm flipH="1">
          <a:off x="5105400" y="6753225"/>
          <a:ext cx="400050" cy="247650"/>
          <a:chOff x="616" y="147"/>
          <a:chExt cx="32" cy="21"/>
        </a:xfrm>
        <a:solidFill>
          <a:srgbClr val="FFFFFF"/>
        </a:solidFill>
      </xdr:grpSpPr>
      <xdr:sp>
        <xdr:nvSpPr>
          <xdr:cNvPr id="70" name="AutoShape 417"/>
          <xdr:cNvSpPr>
            <a:spLocks/>
          </xdr:cNvSpPr>
        </xdr:nvSpPr>
        <xdr:spPr>
          <a:xfrm>
            <a:off x="616" y="147"/>
            <a:ext cx="25" cy="20"/>
          </a:xfrm>
          <a:custGeom>
            <a:pathLst>
              <a:path h="20" w="25">
                <a:moveTo>
                  <a:pt x="25" y="20"/>
                </a:moveTo>
                <a:lnTo>
                  <a:pt x="25" y="0"/>
                </a:lnTo>
                <a:lnTo>
                  <a:pt x="0" y="0"/>
                </a:lnTo>
                <a:lnTo>
                  <a:pt x="0" y="12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Oval 418"/>
          <xdr:cNvSpPr>
            <a:spLocks/>
          </xdr:cNvSpPr>
        </xdr:nvSpPr>
        <xdr:spPr>
          <a:xfrm flipH="1">
            <a:off x="642" y="162"/>
            <a:ext cx="6" cy="6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29</xdr:row>
      <xdr:rowOff>152400</xdr:rowOff>
    </xdr:from>
    <xdr:to>
      <xdr:col>15</xdr:col>
      <xdr:colOff>276225</xdr:colOff>
      <xdr:row>30</xdr:row>
      <xdr:rowOff>47625</xdr:rowOff>
    </xdr:to>
    <xdr:sp>
      <xdr:nvSpPr>
        <xdr:cNvPr id="72" name="Line 419"/>
        <xdr:cNvSpPr>
          <a:spLocks/>
        </xdr:cNvSpPr>
      </xdr:nvSpPr>
      <xdr:spPr>
        <a:xfrm>
          <a:off x="5133975" y="6781800"/>
          <a:ext cx="0" cy="123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190500</xdr:rowOff>
    </xdr:from>
    <xdr:to>
      <xdr:col>25</xdr:col>
      <xdr:colOff>9525</xdr:colOff>
      <xdr:row>18</xdr:row>
      <xdr:rowOff>0</xdr:rowOff>
    </xdr:to>
    <xdr:grpSp>
      <xdr:nvGrpSpPr>
        <xdr:cNvPr id="1" name="Group 209"/>
        <xdr:cNvGrpSpPr>
          <a:grpSpLocks/>
        </xdr:cNvGrpSpPr>
      </xdr:nvGrpSpPr>
      <xdr:grpSpPr>
        <a:xfrm>
          <a:off x="647700" y="647700"/>
          <a:ext cx="7458075" cy="3467100"/>
          <a:chOff x="54" y="116"/>
          <a:chExt cx="622" cy="364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20017606">
            <a:off x="184" y="120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246" y="407"/>
            <a:ext cx="16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V="1">
            <a:off x="246" y="411"/>
            <a:ext cx="16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246" y="407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Oval 9"/>
          <xdr:cNvSpPr>
            <a:spLocks/>
          </xdr:cNvSpPr>
        </xdr:nvSpPr>
        <xdr:spPr>
          <a:xfrm flipH="1">
            <a:off x="252" y="400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Oval 10"/>
          <xdr:cNvSpPr>
            <a:spLocks/>
          </xdr:cNvSpPr>
        </xdr:nvSpPr>
        <xdr:spPr>
          <a:xfrm>
            <a:off x="214" y="32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Oval 11"/>
          <xdr:cNvSpPr>
            <a:spLocks/>
          </xdr:cNvSpPr>
        </xdr:nvSpPr>
        <xdr:spPr>
          <a:xfrm>
            <a:off x="123" y="14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12"/>
          <xdr:cNvSpPr>
            <a:spLocks/>
          </xdr:cNvSpPr>
        </xdr:nvSpPr>
        <xdr:spPr>
          <a:xfrm>
            <a:off x="166" y="228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19"/>
          <xdr:cNvSpPr>
            <a:spLocks/>
          </xdr:cNvSpPr>
        </xdr:nvSpPr>
        <xdr:spPr>
          <a:xfrm flipH="1">
            <a:off x="54" y="193"/>
            <a:ext cx="3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31"/>
          <xdr:cNvSpPr>
            <a:spLocks/>
          </xdr:cNvSpPr>
        </xdr:nvSpPr>
        <xdr:spPr>
          <a:xfrm flipH="1">
            <a:off x="54" y="278"/>
            <a:ext cx="7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33"/>
          <xdr:cNvSpPr>
            <a:spLocks/>
          </xdr:cNvSpPr>
        </xdr:nvSpPr>
        <xdr:spPr>
          <a:xfrm flipV="1">
            <a:off x="54" y="193"/>
            <a:ext cx="0" cy="8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38"/>
          <xdr:cNvSpPr>
            <a:spLocks/>
          </xdr:cNvSpPr>
        </xdr:nvSpPr>
        <xdr:spPr>
          <a:xfrm rot="10800000">
            <a:off x="101" y="193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40"/>
          <xdr:cNvSpPr>
            <a:spLocks/>
          </xdr:cNvSpPr>
        </xdr:nvSpPr>
        <xdr:spPr>
          <a:xfrm rot="10800000">
            <a:off x="101" y="193"/>
            <a:ext cx="45" cy="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41"/>
          <xdr:cNvSpPr>
            <a:spLocks/>
          </xdr:cNvSpPr>
        </xdr:nvSpPr>
        <xdr:spPr>
          <a:xfrm rot="10800000">
            <a:off x="111" y="212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42"/>
          <xdr:cNvSpPr>
            <a:spLocks/>
          </xdr:cNvSpPr>
        </xdr:nvSpPr>
        <xdr:spPr>
          <a:xfrm rot="10800000">
            <a:off x="121" y="231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43"/>
          <xdr:cNvSpPr>
            <a:spLocks/>
          </xdr:cNvSpPr>
        </xdr:nvSpPr>
        <xdr:spPr>
          <a:xfrm rot="10800000">
            <a:off x="131" y="250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44"/>
          <xdr:cNvSpPr>
            <a:spLocks/>
          </xdr:cNvSpPr>
        </xdr:nvSpPr>
        <xdr:spPr>
          <a:xfrm rot="10800000">
            <a:off x="141" y="269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50"/>
          <xdr:cNvSpPr>
            <a:spLocks/>
          </xdr:cNvSpPr>
        </xdr:nvSpPr>
        <xdr:spPr>
          <a:xfrm rot="10800000">
            <a:off x="107" y="203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51"/>
          <xdr:cNvSpPr>
            <a:spLocks/>
          </xdr:cNvSpPr>
        </xdr:nvSpPr>
        <xdr:spPr>
          <a:xfrm rot="10800000">
            <a:off x="115" y="222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52"/>
          <xdr:cNvSpPr>
            <a:spLocks/>
          </xdr:cNvSpPr>
        </xdr:nvSpPr>
        <xdr:spPr>
          <a:xfrm rot="10800000">
            <a:off x="126" y="240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53"/>
          <xdr:cNvSpPr>
            <a:spLocks/>
          </xdr:cNvSpPr>
        </xdr:nvSpPr>
        <xdr:spPr>
          <a:xfrm rot="10800000">
            <a:off x="136" y="259"/>
            <a:ext cx="34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54"/>
          <xdr:cNvSpPr>
            <a:spLocks/>
          </xdr:cNvSpPr>
        </xdr:nvSpPr>
        <xdr:spPr>
          <a:xfrm rot="10800000">
            <a:off x="146" y="278"/>
            <a:ext cx="34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59"/>
          <xdr:cNvSpPr>
            <a:spLocks/>
          </xdr:cNvSpPr>
        </xdr:nvSpPr>
        <xdr:spPr>
          <a:xfrm flipH="1">
            <a:off x="235" y="216"/>
            <a:ext cx="35" cy="61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60"/>
          <xdr:cNvSpPr>
            <a:spLocks/>
          </xdr:cNvSpPr>
        </xdr:nvSpPr>
        <xdr:spPr>
          <a:xfrm>
            <a:off x="270" y="216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Line 62"/>
          <xdr:cNvSpPr>
            <a:spLocks/>
          </xdr:cNvSpPr>
        </xdr:nvSpPr>
        <xdr:spPr>
          <a:xfrm rot="10800000">
            <a:off x="106" y="203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Oval 63"/>
          <xdr:cNvSpPr>
            <a:spLocks/>
          </xdr:cNvSpPr>
        </xdr:nvSpPr>
        <xdr:spPr>
          <a:xfrm flipH="1">
            <a:off x="375" y="41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Rectangle 65"/>
          <xdr:cNvSpPr>
            <a:spLocks/>
          </xdr:cNvSpPr>
        </xdr:nvSpPr>
        <xdr:spPr>
          <a:xfrm rot="18666123">
            <a:off x="120" y="316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99"/>
          <xdr:cNvSpPr>
            <a:spLocks/>
          </xdr:cNvSpPr>
        </xdr:nvSpPr>
        <xdr:spPr>
          <a:xfrm flipH="1">
            <a:off x="173" y="168"/>
            <a:ext cx="43" cy="6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100"/>
          <xdr:cNvSpPr>
            <a:spLocks/>
          </xdr:cNvSpPr>
        </xdr:nvSpPr>
        <xdr:spPr>
          <a:xfrm>
            <a:off x="216" y="168"/>
            <a:ext cx="3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Rectangle 102"/>
          <xdr:cNvSpPr>
            <a:spLocks/>
          </xdr:cNvSpPr>
        </xdr:nvSpPr>
        <xdr:spPr>
          <a:xfrm>
            <a:off x="490" y="185"/>
            <a:ext cx="161" cy="92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sp>
        <xdr:nvSpPr>
          <xdr:cNvPr id="32" name="Line 104"/>
          <xdr:cNvSpPr>
            <a:spLocks/>
          </xdr:cNvSpPr>
        </xdr:nvSpPr>
        <xdr:spPr>
          <a:xfrm>
            <a:off x="447" y="321"/>
            <a:ext cx="22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Line 105"/>
          <xdr:cNvSpPr>
            <a:spLocks/>
          </xdr:cNvSpPr>
        </xdr:nvSpPr>
        <xdr:spPr>
          <a:xfrm>
            <a:off x="447" y="327"/>
            <a:ext cx="22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107"/>
          <xdr:cNvSpPr>
            <a:spLocks/>
          </xdr:cNvSpPr>
        </xdr:nvSpPr>
        <xdr:spPr>
          <a:xfrm>
            <a:off x="447" y="405"/>
            <a:ext cx="2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Line 108"/>
          <xdr:cNvSpPr>
            <a:spLocks/>
          </xdr:cNvSpPr>
        </xdr:nvSpPr>
        <xdr:spPr>
          <a:xfrm>
            <a:off x="447" y="411"/>
            <a:ext cx="2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Line 153"/>
          <xdr:cNvSpPr>
            <a:spLocks/>
          </xdr:cNvSpPr>
        </xdr:nvSpPr>
        <xdr:spPr>
          <a:xfrm>
            <a:off x="447" y="140"/>
            <a:ext cx="22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154"/>
          <xdr:cNvSpPr>
            <a:spLocks/>
          </xdr:cNvSpPr>
        </xdr:nvSpPr>
        <xdr:spPr>
          <a:xfrm>
            <a:off x="447" y="146"/>
            <a:ext cx="22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Line 157"/>
          <xdr:cNvSpPr>
            <a:spLocks/>
          </xdr:cNvSpPr>
        </xdr:nvSpPr>
        <xdr:spPr>
          <a:xfrm>
            <a:off x="654" y="135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9" name="Line 158"/>
          <xdr:cNvSpPr>
            <a:spLocks/>
          </xdr:cNvSpPr>
        </xdr:nvSpPr>
        <xdr:spPr>
          <a:xfrm>
            <a:off x="648" y="135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0" name="Line 180"/>
          <xdr:cNvSpPr>
            <a:spLocks/>
          </xdr:cNvSpPr>
        </xdr:nvSpPr>
        <xdr:spPr>
          <a:xfrm flipV="1">
            <a:off x="648" y="13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181"/>
          <xdr:cNvSpPr>
            <a:spLocks/>
          </xdr:cNvSpPr>
        </xdr:nvSpPr>
        <xdr:spPr>
          <a:xfrm flipV="1">
            <a:off x="648" y="42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Line 189"/>
          <xdr:cNvSpPr>
            <a:spLocks/>
          </xdr:cNvSpPr>
        </xdr:nvSpPr>
        <xdr:spPr>
          <a:xfrm>
            <a:off x="492" y="135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Line 190"/>
          <xdr:cNvSpPr>
            <a:spLocks/>
          </xdr:cNvSpPr>
        </xdr:nvSpPr>
        <xdr:spPr>
          <a:xfrm>
            <a:off x="486" y="135"/>
            <a:ext cx="0" cy="2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191"/>
          <xdr:cNvSpPr>
            <a:spLocks/>
          </xdr:cNvSpPr>
        </xdr:nvSpPr>
        <xdr:spPr>
          <a:xfrm flipV="1">
            <a:off x="486" y="13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192"/>
          <xdr:cNvSpPr>
            <a:spLocks/>
          </xdr:cNvSpPr>
        </xdr:nvSpPr>
        <xdr:spPr>
          <a:xfrm flipV="1">
            <a:off x="486" y="423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Line 194"/>
          <xdr:cNvSpPr>
            <a:spLocks/>
          </xdr:cNvSpPr>
        </xdr:nvSpPr>
        <xdr:spPr>
          <a:xfrm>
            <a:off x="447" y="228"/>
            <a:ext cx="22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7" name="Line 195"/>
          <xdr:cNvSpPr>
            <a:spLocks/>
          </xdr:cNvSpPr>
        </xdr:nvSpPr>
        <xdr:spPr>
          <a:xfrm>
            <a:off x="447" y="234"/>
            <a:ext cx="22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197"/>
          <xdr:cNvSpPr>
            <a:spLocks/>
          </xdr:cNvSpPr>
        </xdr:nvSpPr>
        <xdr:spPr>
          <a:xfrm flipV="1">
            <a:off x="459" y="240"/>
            <a:ext cx="54" cy="4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Line 198"/>
          <xdr:cNvSpPr>
            <a:spLocks/>
          </xdr:cNvSpPr>
        </xdr:nvSpPr>
        <xdr:spPr>
          <a:xfrm>
            <a:off x="375" y="288"/>
            <a:ext cx="8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0" name="Line 202"/>
          <xdr:cNvSpPr>
            <a:spLocks/>
          </xdr:cNvSpPr>
        </xdr:nvSpPr>
        <xdr:spPr>
          <a:xfrm>
            <a:off x="489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1" name="Line 203"/>
          <xdr:cNvSpPr>
            <a:spLocks/>
          </xdr:cNvSpPr>
        </xdr:nvSpPr>
        <xdr:spPr>
          <a:xfrm>
            <a:off x="651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204"/>
          <xdr:cNvSpPr>
            <a:spLocks/>
          </xdr:cNvSpPr>
        </xdr:nvSpPr>
        <xdr:spPr>
          <a:xfrm>
            <a:off x="489" y="480"/>
            <a:ext cx="1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Rectangle 207"/>
          <xdr:cNvSpPr>
            <a:spLocks/>
          </xdr:cNvSpPr>
        </xdr:nvSpPr>
        <xdr:spPr>
          <a:xfrm rot="20017606">
            <a:off x="192" y="116"/>
            <a:ext cx="4" cy="3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114300</xdr:rowOff>
    </xdr:from>
    <xdr:to>
      <xdr:col>26</xdr:col>
      <xdr:colOff>9525</xdr:colOff>
      <xdr:row>20</xdr:row>
      <xdr:rowOff>0</xdr:rowOff>
    </xdr:to>
    <xdr:grpSp>
      <xdr:nvGrpSpPr>
        <xdr:cNvPr id="1" name="Group 106"/>
        <xdr:cNvGrpSpPr>
          <a:grpSpLocks/>
        </xdr:cNvGrpSpPr>
      </xdr:nvGrpSpPr>
      <xdr:grpSpPr>
        <a:xfrm>
          <a:off x="323850" y="1028700"/>
          <a:ext cx="8105775" cy="3543300"/>
          <a:chOff x="27" y="108"/>
          <a:chExt cx="676" cy="37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20017606">
            <a:off x="184" y="120"/>
            <a:ext cx="5" cy="3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33" y="40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33" y="411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33" y="407"/>
            <a:ext cx="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 flipH="1">
            <a:off x="252" y="400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214" y="324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123" y="14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166" y="228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0" y="144"/>
            <a:ext cx="16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270" y="324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351" y="144"/>
            <a:ext cx="0" cy="18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rot="10800000">
            <a:off x="75" y="144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rot="10800000">
            <a:off x="75" y="144"/>
            <a:ext cx="45" cy="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rot="10800000">
            <a:off x="85" y="163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rot="10800000">
            <a:off x="95" y="182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rot="10800000">
            <a:off x="105" y="201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rot="10800000">
            <a:off x="115" y="220"/>
            <a:ext cx="3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rot="10800000">
            <a:off x="81" y="154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rot="10800000">
            <a:off x="90" y="173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rot="10800000">
            <a:off x="100" y="191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rot="10800000">
            <a:off x="110" y="210"/>
            <a:ext cx="3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rot="10800000">
            <a:off x="120" y="229"/>
            <a:ext cx="3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H="1">
            <a:off x="351" y="360"/>
            <a:ext cx="27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78" y="360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Oval 27"/>
          <xdr:cNvSpPr>
            <a:spLocks/>
          </xdr:cNvSpPr>
        </xdr:nvSpPr>
        <xdr:spPr>
          <a:xfrm flipH="1">
            <a:off x="375" y="41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Rectangle 28"/>
          <xdr:cNvSpPr>
            <a:spLocks/>
          </xdr:cNvSpPr>
        </xdr:nvSpPr>
        <xdr:spPr>
          <a:xfrm rot="18666123">
            <a:off x="120" y="316"/>
            <a:ext cx="312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 flipV="1">
            <a:off x="135" y="234"/>
            <a:ext cx="31" cy="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7" y="264"/>
            <a:ext cx="10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Rectangle 31"/>
          <xdr:cNvSpPr>
            <a:spLocks/>
          </xdr:cNvSpPr>
        </xdr:nvSpPr>
        <xdr:spPr>
          <a:xfrm>
            <a:off x="558" y="143"/>
            <a:ext cx="81" cy="181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
</a:t>
            </a:r>
          </a:p>
        </xdr:txBody>
      </xdr:sp>
      <xdr:grpSp>
        <xdr:nvGrpSpPr>
          <xdr:cNvPr id="31" name="Group 32"/>
          <xdr:cNvGrpSpPr>
            <a:grpSpLocks/>
          </xdr:cNvGrpSpPr>
        </xdr:nvGrpSpPr>
        <xdr:grpSpPr>
          <a:xfrm>
            <a:off x="474" y="321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32" name="Line 33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3" name="Line 34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4" name="Group 35"/>
          <xdr:cNvGrpSpPr>
            <a:grpSpLocks/>
          </xdr:cNvGrpSpPr>
        </xdr:nvGrpSpPr>
        <xdr:grpSpPr>
          <a:xfrm>
            <a:off x="474" y="405"/>
            <a:ext cx="229" cy="6"/>
            <a:chOff x="-962" y="-7214286"/>
            <a:chExt cx="19780" cy="1332"/>
          </a:xfrm>
          <a:solidFill>
            <a:srgbClr val="FFFFFF"/>
          </a:solidFill>
        </xdr:grpSpPr>
        <xdr:sp>
          <xdr:nvSpPr>
            <xdr:cNvPr id="35" name="Line 36"/>
            <xdr:cNvSpPr>
              <a:spLocks/>
            </xdr:cNvSpPr>
          </xdr:nvSpPr>
          <xdr:spPr>
            <a:xfrm>
              <a:off x="-962" y="-7214286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6" name="Line 37"/>
            <xdr:cNvSpPr>
              <a:spLocks/>
            </xdr:cNvSpPr>
          </xdr:nvSpPr>
          <xdr:spPr>
            <a:xfrm>
              <a:off x="-962" y="-7212954"/>
              <a:ext cx="197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37" name="Group 38"/>
          <xdr:cNvGrpSpPr>
            <a:grpSpLocks/>
          </xdr:cNvGrpSpPr>
        </xdr:nvGrpSpPr>
        <xdr:grpSpPr>
          <a:xfrm>
            <a:off x="474" y="140"/>
            <a:ext cx="227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38" name="Line 39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9" name="Line 40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0" name="Group 41"/>
          <xdr:cNvGrpSpPr>
            <a:grpSpLocks/>
          </xdr:cNvGrpSpPr>
        </xdr:nvGrpSpPr>
        <xdr:grpSpPr>
          <a:xfrm>
            <a:off x="675" y="135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41" name="Line 42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2" name="Line 43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3" name="Line 44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4" name="Line 45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45" name="Group 46"/>
          <xdr:cNvGrpSpPr>
            <a:grpSpLocks/>
          </xdr:cNvGrpSpPr>
        </xdr:nvGrpSpPr>
        <xdr:grpSpPr>
          <a:xfrm>
            <a:off x="594" y="135"/>
            <a:ext cx="6" cy="288"/>
            <a:chOff x="648" y="591"/>
            <a:chExt cx="6" cy="288"/>
          </a:xfrm>
          <a:solidFill>
            <a:srgbClr val="FFFFFF"/>
          </a:solidFill>
        </xdr:grpSpPr>
        <xdr:sp>
          <xdr:nvSpPr>
            <xdr:cNvPr id="46" name="Line 47"/>
            <xdr:cNvSpPr>
              <a:spLocks/>
            </xdr:cNvSpPr>
          </xdr:nvSpPr>
          <xdr:spPr>
            <a:xfrm>
              <a:off x="654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7" name="Line 48"/>
            <xdr:cNvSpPr>
              <a:spLocks/>
            </xdr:cNvSpPr>
          </xdr:nvSpPr>
          <xdr:spPr>
            <a:xfrm>
              <a:off x="648" y="591"/>
              <a:ext cx="0" cy="28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8" name="Line 49"/>
            <xdr:cNvSpPr>
              <a:spLocks/>
            </xdr:cNvSpPr>
          </xdr:nvSpPr>
          <xdr:spPr>
            <a:xfrm flipV="1">
              <a:off x="648" y="591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Line 50"/>
            <xdr:cNvSpPr>
              <a:spLocks/>
            </xdr:cNvSpPr>
          </xdr:nvSpPr>
          <xdr:spPr>
            <a:xfrm flipV="1">
              <a:off x="648" y="879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0" name="Group 51"/>
          <xdr:cNvGrpSpPr>
            <a:grpSpLocks/>
          </xdr:cNvGrpSpPr>
        </xdr:nvGrpSpPr>
        <xdr:grpSpPr>
          <a:xfrm>
            <a:off x="513" y="135"/>
            <a:ext cx="6" cy="288"/>
            <a:chOff x="486" y="576"/>
            <a:chExt cx="6" cy="312"/>
          </a:xfrm>
          <a:solidFill>
            <a:srgbClr val="FFFFFF"/>
          </a:solidFill>
        </xdr:grpSpPr>
        <xdr:sp>
          <xdr:nvSpPr>
            <xdr:cNvPr id="51" name="Line 52"/>
            <xdr:cNvSpPr>
              <a:spLocks/>
            </xdr:cNvSpPr>
          </xdr:nvSpPr>
          <xdr:spPr>
            <a:xfrm>
              <a:off x="492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2" name="Line 53"/>
            <xdr:cNvSpPr>
              <a:spLocks/>
            </xdr:cNvSpPr>
          </xdr:nvSpPr>
          <xdr:spPr>
            <a:xfrm>
              <a:off x="486" y="576"/>
              <a:ext cx="0" cy="3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3" name="Line 54"/>
            <xdr:cNvSpPr>
              <a:spLocks/>
            </xdr:cNvSpPr>
          </xdr:nvSpPr>
          <xdr:spPr>
            <a:xfrm flipV="1">
              <a:off x="486" y="576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4" name="Line 55"/>
            <xdr:cNvSpPr>
              <a:spLocks/>
            </xdr:cNvSpPr>
          </xdr:nvSpPr>
          <xdr:spPr>
            <a:xfrm flipV="1">
              <a:off x="486" y="888"/>
              <a:ext cx="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5" name="Group 56"/>
          <xdr:cNvGrpSpPr>
            <a:grpSpLocks/>
          </xdr:cNvGrpSpPr>
        </xdr:nvGrpSpPr>
        <xdr:grpSpPr>
          <a:xfrm>
            <a:off x="474" y="228"/>
            <a:ext cx="228" cy="6"/>
            <a:chOff x="66" y="-5410499"/>
            <a:chExt cx="20210" cy="1338"/>
          </a:xfrm>
          <a:solidFill>
            <a:srgbClr val="FFFFFF"/>
          </a:solidFill>
        </xdr:grpSpPr>
        <xdr:sp>
          <xdr:nvSpPr>
            <xdr:cNvPr id="56" name="Line 57"/>
            <xdr:cNvSpPr>
              <a:spLocks/>
            </xdr:cNvSpPr>
          </xdr:nvSpPr>
          <xdr:spPr>
            <a:xfrm>
              <a:off x="66" y="-5410499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7" name="Line 58"/>
            <xdr:cNvSpPr>
              <a:spLocks/>
            </xdr:cNvSpPr>
          </xdr:nvSpPr>
          <xdr:spPr>
            <a:xfrm>
              <a:off x="66" y="-5409161"/>
              <a:ext cx="2021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sp>
        <xdr:nvSpPr>
          <xdr:cNvPr id="58" name="Line 59"/>
          <xdr:cNvSpPr>
            <a:spLocks/>
          </xdr:cNvSpPr>
        </xdr:nvSpPr>
        <xdr:spPr>
          <a:xfrm>
            <a:off x="525" y="192"/>
            <a:ext cx="42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60"/>
          <xdr:cNvSpPr>
            <a:spLocks/>
          </xdr:cNvSpPr>
        </xdr:nvSpPr>
        <xdr:spPr>
          <a:xfrm>
            <a:off x="440" y="192"/>
            <a:ext cx="85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Line 61"/>
          <xdr:cNvSpPr>
            <a:spLocks/>
          </xdr:cNvSpPr>
        </xdr:nvSpPr>
        <xdr:spPr>
          <a:xfrm>
            <a:off x="559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Line 62"/>
          <xdr:cNvSpPr>
            <a:spLocks/>
          </xdr:cNvSpPr>
        </xdr:nvSpPr>
        <xdr:spPr>
          <a:xfrm>
            <a:off x="640" y="432"/>
            <a:ext cx="0" cy="4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63"/>
          <xdr:cNvSpPr>
            <a:spLocks/>
          </xdr:cNvSpPr>
        </xdr:nvSpPr>
        <xdr:spPr>
          <a:xfrm>
            <a:off x="559" y="480"/>
            <a:ext cx="81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64"/>
          <xdr:cNvSpPr>
            <a:spLocks/>
          </xdr:cNvSpPr>
        </xdr:nvSpPr>
        <xdr:spPr>
          <a:xfrm>
            <a:off x="130" y="143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Line 65"/>
          <xdr:cNvSpPr>
            <a:spLocks/>
          </xdr:cNvSpPr>
        </xdr:nvSpPr>
        <xdr:spPr>
          <a:xfrm>
            <a:off x="171" y="143"/>
            <a:ext cx="92" cy="18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Line 67"/>
          <xdr:cNvSpPr>
            <a:spLocks/>
          </xdr:cNvSpPr>
        </xdr:nvSpPr>
        <xdr:spPr>
          <a:xfrm>
            <a:off x="143" y="167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68"/>
          <xdr:cNvSpPr>
            <a:spLocks/>
          </xdr:cNvSpPr>
        </xdr:nvSpPr>
        <xdr:spPr>
          <a:xfrm>
            <a:off x="155" y="191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Line 69"/>
          <xdr:cNvSpPr>
            <a:spLocks/>
          </xdr:cNvSpPr>
        </xdr:nvSpPr>
        <xdr:spPr>
          <a:xfrm>
            <a:off x="167" y="215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Line 70"/>
          <xdr:cNvSpPr>
            <a:spLocks/>
          </xdr:cNvSpPr>
        </xdr:nvSpPr>
        <xdr:spPr>
          <a:xfrm>
            <a:off x="178" y="239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71"/>
          <xdr:cNvSpPr>
            <a:spLocks/>
          </xdr:cNvSpPr>
        </xdr:nvSpPr>
        <xdr:spPr>
          <a:xfrm>
            <a:off x="192" y="263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72"/>
          <xdr:cNvSpPr>
            <a:spLocks/>
          </xdr:cNvSpPr>
        </xdr:nvSpPr>
        <xdr:spPr>
          <a:xfrm>
            <a:off x="204" y="287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Line 73"/>
          <xdr:cNvSpPr>
            <a:spLocks/>
          </xdr:cNvSpPr>
        </xdr:nvSpPr>
        <xdr:spPr>
          <a:xfrm>
            <a:off x="215" y="311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Line 76"/>
          <xdr:cNvSpPr>
            <a:spLocks/>
          </xdr:cNvSpPr>
        </xdr:nvSpPr>
        <xdr:spPr>
          <a:xfrm>
            <a:off x="137" y="15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77"/>
          <xdr:cNvSpPr>
            <a:spLocks/>
          </xdr:cNvSpPr>
        </xdr:nvSpPr>
        <xdr:spPr>
          <a:xfrm>
            <a:off x="148" y="18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Line 78"/>
          <xdr:cNvSpPr>
            <a:spLocks/>
          </xdr:cNvSpPr>
        </xdr:nvSpPr>
        <xdr:spPr>
          <a:xfrm>
            <a:off x="160" y="20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Line 79"/>
          <xdr:cNvSpPr>
            <a:spLocks/>
          </xdr:cNvSpPr>
        </xdr:nvSpPr>
        <xdr:spPr>
          <a:xfrm>
            <a:off x="172" y="22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80"/>
          <xdr:cNvSpPr>
            <a:spLocks/>
          </xdr:cNvSpPr>
        </xdr:nvSpPr>
        <xdr:spPr>
          <a:xfrm>
            <a:off x="184" y="252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Line 81"/>
          <xdr:cNvSpPr>
            <a:spLocks/>
          </xdr:cNvSpPr>
        </xdr:nvSpPr>
        <xdr:spPr>
          <a:xfrm>
            <a:off x="198" y="276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82"/>
          <xdr:cNvSpPr>
            <a:spLocks/>
          </xdr:cNvSpPr>
        </xdr:nvSpPr>
        <xdr:spPr>
          <a:xfrm>
            <a:off x="210" y="300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Line 83"/>
          <xdr:cNvSpPr>
            <a:spLocks/>
          </xdr:cNvSpPr>
        </xdr:nvSpPr>
        <xdr:spPr>
          <a:xfrm>
            <a:off x="222" y="324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Line 85"/>
          <xdr:cNvSpPr>
            <a:spLocks/>
          </xdr:cNvSpPr>
        </xdr:nvSpPr>
        <xdr:spPr>
          <a:xfrm flipV="1">
            <a:off x="189" y="330"/>
            <a:ext cx="24" cy="3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86"/>
          <xdr:cNvSpPr>
            <a:spLocks/>
          </xdr:cNvSpPr>
        </xdr:nvSpPr>
        <xdr:spPr>
          <a:xfrm>
            <a:off x="27" y="360"/>
            <a:ext cx="1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Line 87"/>
          <xdr:cNvSpPr>
            <a:spLocks/>
          </xdr:cNvSpPr>
        </xdr:nvSpPr>
        <xdr:spPr>
          <a:xfrm flipV="1">
            <a:off x="216" y="384"/>
            <a:ext cx="17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Line 88"/>
          <xdr:cNvSpPr>
            <a:spLocks/>
          </xdr:cNvSpPr>
        </xdr:nvSpPr>
        <xdr:spPr>
          <a:xfrm>
            <a:off x="54" y="408"/>
            <a:ext cx="162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4" name="Line 89"/>
          <xdr:cNvSpPr>
            <a:spLocks/>
          </xdr:cNvSpPr>
        </xdr:nvSpPr>
        <xdr:spPr>
          <a:xfrm flipH="1">
            <a:off x="217" y="224"/>
            <a:ext cx="161" cy="103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5" name="Line 91"/>
          <xdr:cNvSpPr>
            <a:spLocks/>
          </xdr:cNvSpPr>
        </xdr:nvSpPr>
        <xdr:spPr>
          <a:xfrm>
            <a:off x="378" y="288"/>
            <a:ext cx="10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6" name="Line 92"/>
          <xdr:cNvSpPr>
            <a:spLocks/>
          </xdr:cNvSpPr>
        </xdr:nvSpPr>
        <xdr:spPr>
          <a:xfrm flipH="1" flipV="1">
            <a:off x="363" y="236"/>
            <a:ext cx="15" cy="5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7" name="Line 101"/>
          <xdr:cNvSpPr>
            <a:spLocks/>
          </xdr:cNvSpPr>
        </xdr:nvSpPr>
        <xdr:spPr>
          <a:xfrm flipH="1">
            <a:off x="221" y="295"/>
            <a:ext cx="64" cy="3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8" name="Line 102"/>
          <xdr:cNvSpPr>
            <a:spLocks/>
          </xdr:cNvSpPr>
        </xdr:nvSpPr>
        <xdr:spPr>
          <a:xfrm flipH="1">
            <a:off x="129" y="108"/>
            <a:ext cx="67" cy="3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9" name="Line 103"/>
          <xdr:cNvSpPr>
            <a:spLocks/>
          </xdr:cNvSpPr>
        </xdr:nvSpPr>
        <xdr:spPr>
          <a:xfrm rot="16200000" flipH="1">
            <a:off x="194" y="108"/>
            <a:ext cx="89" cy="187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0" name="Rectangle 105"/>
          <xdr:cNvSpPr>
            <a:spLocks/>
          </xdr:cNvSpPr>
        </xdr:nvSpPr>
        <xdr:spPr>
          <a:xfrm rot="20017606">
            <a:off x="192" y="113"/>
            <a:ext cx="4" cy="3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823;&#27941;&#39640;&#26550;&#27211;&#26612;&#23614;&#12379;&#12435;&#12363;&#12425;\&#35336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画工程表（原紙）"/>
      <sheetName val="工程表様式"/>
      <sheetName val="施工管理計画"/>
      <sheetName val="出来形管理"/>
      <sheetName val="品質管理"/>
      <sheetName val="デジタル写真管理"/>
      <sheetName val="写真管理"/>
      <sheetName val="緊急時の体制及び対応"/>
      <sheetName val="交通管理"/>
      <sheetName val="看板"/>
      <sheetName val="環境対策"/>
      <sheetName val="現場作業環境の整備"/>
      <sheetName val="仮設"/>
      <sheetName val="再生資源の利用の促進"/>
      <sheetName val="その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02"/>
  <sheetViews>
    <sheetView view="pageBreakPreview" zoomScaleNormal="75" zoomScaleSheetLayoutView="100" workbookViewId="0" topLeftCell="A1">
      <selection activeCell="K29" sqref="K29"/>
    </sheetView>
  </sheetViews>
  <sheetFormatPr defaultColWidth="8.796875" defaultRowHeight="14.25"/>
  <cols>
    <col min="1" max="1" width="1.69921875" style="0" customWidth="1"/>
    <col min="2" max="26" width="3.59765625" style="0" customWidth="1"/>
    <col min="27" max="30" width="3.09765625" style="0" customWidth="1"/>
    <col min="33" max="34" width="9" style="0" hidden="1" customWidth="1"/>
  </cols>
  <sheetData>
    <row r="2" spans="2:31" ht="13.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2:31" ht="13.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2:31" ht="13.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2:31" ht="13.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2:31" ht="13.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2:31" ht="13.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2:31" ht="13.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2:31" ht="13.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2:31" ht="13.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2:31" ht="13.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2:31" ht="13.5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2:31" ht="13.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2:31" ht="13.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2:31" ht="13.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2:31" ht="13.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2:31" ht="13.5">
      <c r="B17" s="31"/>
      <c r="C17" s="31"/>
      <c r="D17" s="31"/>
      <c r="E17" s="31"/>
      <c r="F17" s="31"/>
      <c r="G17" s="31"/>
      <c r="H17" s="31"/>
      <c r="I17" s="583" t="s">
        <v>296</v>
      </c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2:31" ht="13.5">
      <c r="B18" s="31"/>
      <c r="C18" s="31"/>
      <c r="D18" s="31"/>
      <c r="E18" s="31"/>
      <c r="F18" s="31"/>
      <c r="G18" s="31"/>
      <c r="H18" s="31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2:31" ht="13.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2:31" ht="13.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2:31" ht="13.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2:31" ht="13.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2:31" ht="13.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2:31" ht="13.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2:31" ht="13.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2:31" ht="13.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2:34" ht="13.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G27">
        <v>16</v>
      </c>
      <c r="AH27">
        <v>1</v>
      </c>
    </row>
    <row r="28" spans="2:34" ht="13.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G28">
        <v>17</v>
      </c>
      <c r="AH28">
        <v>2</v>
      </c>
    </row>
    <row r="29" spans="2:34" ht="13.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G29">
        <v>18</v>
      </c>
      <c r="AH29">
        <v>3</v>
      </c>
    </row>
    <row r="30" spans="2:34" ht="13.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G30">
        <v>19</v>
      </c>
      <c r="AH30">
        <v>4</v>
      </c>
    </row>
    <row r="31" spans="2:34" ht="13.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G31">
        <v>20</v>
      </c>
      <c r="AH31">
        <v>5</v>
      </c>
    </row>
    <row r="32" spans="2:34" ht="13.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G32">
        <v>21</v>
      </c>
      <c r="AH32">
        <v>6</v>
      </c>
    </row>
    <row r="33" spans="2:34" ht="13.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G33">
        <v>22</v>
      </c>
      <c r="AH33">
        <v>7</v>
      </c>
    </row>
    <row r="34" spans="2:34" ht="13.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G34">
        <v>23</v>
      </c>
      <c r="AH34">
        <v>8</v>
      </c>
    </row>
    <row r="35" spans="2:34" ht="13.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G35">
        <v>24</v>
      </c>
      <c r="AH35">
        <v>9</v>
      </c>
    </row>
    <row r="36" spans="2:34" ht="13.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G36">
        <v>25</v>
      </c>
      <c r="AH36">
        <v>10</v>
      </c>
    </row>
    <row r="37" spans="2:34" ht="13.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G37">
        <v>26</v>
      </c>
      <c r="AH37">
        <v>11</v>
      </c>
    </row>
    <row r="38" spans="2:34" ht="13.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G38">
        <v>27</v>
      </c>
      <c r="AH38">
        <v>12</v>
      </c>
    </row>
    <row r="39" spans="2:33" ht="13.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G39">
        <v>28</v>
      </c>
    </row>
    <row r="40" spans="2:33" ht="13.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G40">
        <v>29</v>
      </c>
    </row>
    <row r="41" spans="2:33" ht="13.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G41">
        <v>30</v>
      </c>
    </row>
    <row r="42" spans="2:33" ht="13.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G42">
        <v>31</v>
      </c>
    </row>
    <row r="43" spans="2:33" ht="13.5" customHeight="1">
      <c r="B43" s="31"/>
      <c r="C43" s="31"/>
      <c r="D43" s="31"/>
      <c r="E43" s="32"/>
      <c r="F43" s="31"/>
      <c r="G43" s="33"/>
      <c r="H43" s="33"/>
      <c r="I43" s="31"/>
      <c r="J43" s="31"/>
      <c r="K43" s="582" t="s">
        <v>297</v>
      </c>
      <c r="L43" s="582"/>
      <c r="M43" s="582"/>
      <c r="N43" s="582"/>
      <c r="O43" s="582" t="s">
        <v>298</v>
      </c>
      <c r="P43" s="582"/>
      <c r="Q43" s="582"/>
      <c r="R43" s="582" t="s">
        <v>299</v>
      </c>
      <c r="S43" s="582"/>
      <c r="T43" s="582"/>
      <c r="U43" s="582"/>
      <c r="V43" s="34"/>
      <c r="W43" s="31"/>
      <c r="X43" s="31"/>
      <c r="Y43" s="31"/>
      <c r="Z43" s="31"/>
      <c r="AA43" s="31"/>
      <c r="AB43" s="31"/>
      <c r="AC43" s="31"/>
      <c r="AD43" s="31"/>
      <c r="AE43" s="31"/>
      <c r="AG43">
        <v>32</v>
      </c>
    </row>
    <row r="44" spans="2:31" ht="13.5" customHeight="1">
      <c r="B44" s="31"/>
      <c r="C44" s="31"/>
      <c r="D44" s="31"/>
      <c r="E44" s="31"/>
      <c r="F44" s="34"/>
      <c r="G44" s="34"/>
      <c r="H44" s="34"/>
      <c r="I44" s="31"/>
      <c r="J44" s="31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34"/>
      <c r="W44" s="31"/>
      <c r="X44" s="31"/>
      <c r="Y44" s="31"/>
      <c r="Z44" s="31"/>
      <c r="AA44" s="31"/>
      <c r="AB44" s="31"/>
      <c r="AC44" s="31"/>
      <c r="AD44" s="31"/>
      <c r="AE44" s="31"/>
    </row>
    <row r="45" spans="2:31" ht="13.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2:31" ht="13.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2:31" ht="13.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2:31" ht="13.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2:31" ht="13.5" customHeight="1">
      <c r="B49" s="31"/>
      <c r="C49" s="31"/>
      <c r="D49" s="31"/>
      <c r="E49" s="31"/>
      <c r="F49" s="31"/>
      <c r="G49" s="31"/>
      <c r="H49" s="582"/>
      <c r="I49" s="582"/>
      <c r="J49" s="582"/>
      <c r="K49" s="582"/>
      <c r="L49" s="582"/>
      <c r="M49" s="582"/>
      <c r="N49" s="582"/>
      <c r="O49" s="582"/>
      <c r="P49" s="582"/>
      <c r="Q49" s="582"/>
      <c r="R49" s="582"/>
      <c r="S49" s="582"/>
      <c r="T49" s="582"/>
      <c r="U49" s="582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2:31" ht="13.5" customHeight="1">
      <c r="B50" s="31"/>
      <c r="C50" s="31"/>
      <c r="D50" s="31"/>
      <c r="E50" s="31"/>
      <c r="F50" s="31"/>
      <c r="G50" s="31"/>
      <c r="H50" s="582"/>
      <c r="I50" s="582"/>
      <c r="J50" s="582"/>
      <c r="K50" s="582"/>
      <c r="L50" s="582"/>
      <c r="M50" s="582"/>
      <c r="N50" s="582"/>
      <c r="O50" s="582"/>
      <c r="P50" s="582"/>
      <c r="Q50" s="582"/>
      <c r="R50" s="582"/>
      <c r="S50" s="582"/>
      <c r="T50" s="582"/>
      <c r="U50" s="582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2:31" ht="13.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2:31" ht="13.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2:31" ht="13.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2:31" ht="13.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2:31" ht="13.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2:31" ht="13.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2:31" ht="13.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2:31" ht="13.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2:31" ht="13.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2:31" ht="13.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31" ht="13.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31" ht="13.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2:31" ht="13.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2:31" ht="13.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31" ht="13.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31" ht="13.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2:31" ht="13.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2:31" ht="13.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2:31" ht="13.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2:31" ht="13.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2:31" ht="13.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2:31" ht="13.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2:31" ht="13.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2:31" ht="13.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2:31" ht="13.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2:31" ht="13.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2:31" ht="13.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2:31" ht="13.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2:31" ht="13.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2:31" ht="13.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2:31" ht="13.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2:31" ht="13.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2:31" ht="13.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2:31" ht="13.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2:31" ht="13.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31" ht="13.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2:31" ht="13.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2:31" ht="13.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2:31" ht="13.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2:31" ht="13.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2:31" ht="13.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2:31" ht="13.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2:31" ht="13.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2:31" ht="13.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2:31" ht="13.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2:31" ht="13.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2:31" ht="13.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2:31" ht="13.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2:31" ht="13.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2:31" ht="13.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2:31" ht="13.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2:31" ht="13.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</sheetData>
  <mergeCells count="9">
    <mergeCell ref="H49:U50"/>
    <mergeCell ref="I17:S18"/>
    <mergeCell ref="M43:N44"/>
    <mergeCell ref="P43:Q44"/>
    <mergeCell ref="R43:R44"/>
    <mergeCell ref="U43:U44"/>
    <mergeCell ref="S43:T44"/>
    <mergeCell ref="K43:L44"/>
    <mergeCell ref="O43:O44"/>
  </mergeCells>
  <dataValidations count="2">
    <dataValidation type="list" allowBlank="1" showInputMessage="1" showErrorMessage="1" sqref="M43:N44">
      <formula1>$AG$26:$AG$43</formula1>
    </dataValidation>
    <dataValidation type="list" allowBlank="1" showInputMessage="1" showErrorMessage="1" sqref="P43:Q44">
      <formula1>$AH$26:$AH$38</formula1>
    </dataValidation>
  </dataValidation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30" width="3.3984375" style="1" customWidth="1"/>
    <col min="31" max="31" width="3.09765625" style="1" customWidth="1"/>
    <col min="32" max="16384" width="4.69921875" style="1" customWidth="1"/>
  </cols>
  <sheetData>
    <row r="1" spans="2:35" ht="18" customHeight="1">
      <c r="B1" s="484" t="s">
        <v>805</v>
      </c>
      <c r="C1" s="36"/>
      <c r="D1" s="36"/>
      <c r="E1" s="36"/>
      <c r="F1" s="36"/>
      <c r="G1" s="36"/>
      <c r="H1" s="50"/>
      <c r="I1" s="50"/>
      <c r="J1" s="50"/>
      <c r="K1" s="50"/>
      <c r="L1" s="36"/>
      <c r="M1" s="41"/>
      <c r="N1" s="28"/>
      <c r="O1" s="28"/>
      <c r="P1" s="36"/>
      <c r="Q1" s="41"/>
      <c r="R1" s="4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17"/>
      <c r="AF1" s="17"/>
      <c r="AG1" s="17"/>
      <c r="AH1" s="17"/>
      <c r="AI1" s="17"/>
    </row>
    <row r="2" spans="1:35" s="22" customFormat="1" ht="18" customHeight="1">
      <c r="A2" s="72"/>
      <c r="B2" s="72"/>
      <c r="C2" s="335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64"/>
      <c r="S2" s="64"/>
      <c r="T2" s="72"/>
      <c r="U2" s="72"/>
      <c r="V2" s="72"/>
      <c r="W2" s="72"/>
      <c r="X2" s="72"/>
      <c r="Y2" s="72"/>
      <c r="Z2" s="72"/>
      <c r="AA2" s="72"/>
      <c r="AB2" s="72"/>
      <c r="AC2" s="72"/>
      <c r="AD2" s="261"/>
      <c r="AE2" s="331"/>
      <c r="AF2" s="331"/>
      <c r="AG2" s="331"/>
      <c r="AH2" s="331"/>
      <c r="AI2" s="331"/>
    </row>
    <row r="3" spans="1:35" s="22" customFormat="1" ht="18" customHeight="1">
      <c r="A3" s="72"/>
      <c r="B3" s="72"/>
      <c r="C3" s="335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261"/>
      <c r="AE3" s="331"/>
      <c r="AF3" s="331"/>
      <c r="AG3" s="331"/>
      <c r="AH3" s="331"/>
      <c r="AI3" s="331"/>
    </row>
    <row r="4" spans="1:35" s="22" customFormat="1" ht="18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335"/>
      <c r="X4" s="72"/>
      <c r="Y4" s="72"/>
      <c r="Z4" s="72"/>
      <c r="AA4" s="72"/>
      <c r="AB4" s="72"/>
      <c r="AC4" s="72"/>
      <c r="AD4" s="261"/>
      <c r="AE4" s="331"/>
      <c r="AF4" s="331"/>
      <c r="AG4" s="331"/>
      <c r="AH4" s="331"/>
      <c r="AI4" s="331"/>
    </row>
    <row r="5" spans="1:35" s="22" customFormat="1" ht="18" customHeight="1">
      <c r="A5" s="72"/>
      <c r="B5" s="72"/>
      <c r="C5" s="72"/>
      <c r="D5" s="72"/>
      <c r="E5" s="72"/>
      <c r="F5" s="72"/>
      <c r="G5" s="72"/>
      <c r="H5" s="72"/>
      <c r="I5" s="340" t="s">
        <v>151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335"/>
      <c r="X5" s="72"/>
      <c r="Y5" s="64"/>
      <c r="Z5" s="64"/>
      <c r="AA5" s="64"/>
      <c r="AB5" s="72"/>
      <c r="AC5" s="72"/>
      <c r="AD5" s="261"/>
      <c r="AE5" s="331"/>
      <c r="AF5" s="331"/>
      <c r="AG5" s="331"/>
      <c r="AH5" s="331"/>
      <c r="AI5" s="331"/>
    </row>
    <row r="6" spans="1:35" s="22" customFormat="1" ht="18" customHeight="1">
      <c r="A6" s="72"/>
      <c r="B6" s="72"/>
      <c r="C6" s="72"/>
      <c r="D6" s="336"/>
      <c r="E6" s="72"/>
      <c r="F6" s="72"/>
      <c r="G6" s="72"/>
      <c r="H6" s="72"/>
      <c r="I6" s="72"/>
      <c r="J6" s="72"/>
      <c r="K6" s="72"/>
      <c r="L6" s="72"/>
      <c r="M6" s="72"/>
      <c r="N6" s="72"/>
      <c r="O6" s="261"/>
      <c r="P6" s="72"/>
      <c r="Q6" s="72"/>
      <c r="R6" s="72"/>
      <c r="S6" s="72"/>
      <c r="T6" s="72"/>
      <c r="U6" s="72"/>
      <c r="V6" s="72"/>
      <c r="W6" s="335"/>
      <c r="X6" s="72"/>
      <c r="Y6" s="64"/>
      <c r="Z6" s="64"/>
      <c r="AA6" s="64"/>
      <c r="AB6" s="72"/>
      <c r="AC6" s="72"/>
      <c r="AD6" s="261"/>
      <c r="AE6" s="331"/>
      <c r="AF6" s="331"/>
      <c r="AG6" s="331"/>
      <c r="AH6" s="331"/>
      <c r="AI6" s="331"/>
    </row>
    <row r="7" spans="1:35" s="22" customFormat="1" ht="18" customHeight="1">
      <c r="A7" s="72"/>
      <c r="B7" s="801">
        <f>'朝顔チェーン'!$F$30/2</f>
        <v>1217</v>
      </c>
      <c r="C7" s="72"/>
      <c r="D7" s="336"/>
      <c r="E7" s="72"/>
      <c r="F7" s="72"/>
      <c r="G7" s="72"/>
      <c r="H7" s="72"/>
      <c r="I7" s="72"/>
      <c r="J7" s="72"/>
      <c r="K7" s="353" t="s">
        <v>413</v>
      </c>
      <c r="L7" s="353"/>
      <c r="M7" s="353"/>
      <c r="N7" s="72"/>
      <c r="O7" s="72"/>
      <c r="P7" s="72"/>
      <c r="Q7" s="72"/>
      <c r="R7" s="72"/>
      <c r="S7" s="72"/>
      <c r="T7" s="72"/>
      <c r="U7" s="72"/>
      <c r="V7" s="72"/>
      <c r="W7" s="335"/>
      <c r="X7" s="72"/>
      <c r="Y7" s="338"/>
      <c r="Z7" s="72"/>
      <c r="AA7" s="72"/>
      <c r="AB7" s="72"/>
      <c r="AC7" s="72"/>
      <c r="AD7" s="261"/>
      <c r="AE7" s="331"/>
      <c r="AF7" s="331"/>
      <c r="AG7" s="331"/>
      <c r="AH7" s="331"/>
      <c r="AI7" s="331"/>
    </row>
    <row r="8" spans="1:35" s="22" customFormat="1" ht="18" customHeight="1">
      <c r="A8" s="72"/>
      <c r="B8" s="801"/>
      <c r="C8" s="72"/>
      <c r="D8" s="157" t="s">
        <v>414</v>
      </c>
      <c r="E8" s="72"/>
      <c r="F8" s="72"/>
      <c r="G8" s="72"/>
      <c r="H8" s="72"/>
      <c r="I8" s="72"/>
      <c r="J8" s="72"/>
      <c r="K8" s="72" t="s">
        <v>415</v>
      </c>
      <c r="L8" s="783">
        <f>'朝顔'!$P$6</f>
        <v>1800</v>
      </c>
      <c r="M8" s="783"/>
      <c r="N8" s="72"/>
      <c r="O8" s="72"/>
      <c r="P8" s="72"/>
      <c r="Q8" s="72"/>
      <c r="R8" s="72"/>
      <c r="S8" s="72"/>
      <c r="T8" s="72"/>
      <c r="U8" s="72"/>
      <c r="V8" s="335"/>
      <c r="W8" s="72"/>
      <c r="X8" s="72"/>
      <c r="Y8" s="72"/>
      <c r="Z8" s="72"/>
      <c r="AA8" s="72"/>
      <c r="AB8" s="72"/>
      <c r="AC8" s="261"/>
      <c r="AD8" s="261"/>
      <c r="AE8" s="331"/>
      <c r="AF8" s="331"/>
      <c r="AG8" s="331"/>
      <c r="AH8" s="331"/>
      <c r="AI8" s="331"/>
    </row>
    <row r="9" spans="1:35" s="22" customFormat="1" ht="18" customHeight="1">
      <c r="A9" s="72"/>
      <c r="B9" s="801"/>
      <c r="C9" s="72"/>
      <c r="D9" s="336"/>
      <c r="E9" s="72"/>
      <c r="F9" s="72"/>
      <c r="G9" s="339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335"/>
      <c r="X9" s="72"/>
      <c r="Y9" s="72"/>
      <c r="Z9" s="72"/>
      <c r="AA9" s="72"/>
      <c r="AB9" s="64"/>
      <c r="AC9" s="72"/>
      <c r="AD9" s="261"/>
      <c r="AE9" s="331"/>
      <c r="AF9" s="331"/>
      <c r="AG9" s="331"/>
      <c r="AH9" s="331"/>
      <c r="AI9" s="331"/>
    </row>
    <row r="10" spans="1:35" s="22" customFormat="1" ht="18" customHeight="1">
      <c r="A10" s="72"/>
      <c r="B10" s="805" t="s">
        <v>416</v>
      </c>
      <c r="C10" s="72"/>
      <c r="D10" s="354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 t="s">
        <v>172</v>
      </c>
      <c r="P10" s="72"/>
      <c r="Q10" s="72"/>
      <c r="R10" s="72"/>
      <c r="S10" s="72"/>
      <c r="T10" s="72"/>
      <c r="U10" s="72"/>
      <c r="V10" s="72"/>
      <c r="W10" s="335"/>
      <c r="X10" s="72"/>
      <c r="Y10" s="72"/>
      <c r="Z10" s="72"/>
      <c r="AA10" s="72"/>
      <c r="AB10" s="64"/>
      <c r="AC10" s="72"/>
      <c r="AD10" s="261"/>
      <c r="AE10" s="331"/>
      <c r="AF10" s="331"/>
      <c r="AG10" s="331"/>
      <c r="AH10" s="331"/>
      <c r="AI10" s="331"/>
    </row>
    <row r="11" spans="1:35" s="22" customFormat="1" ht="18" customHeight="1">
      <c r="A11" s="72"/>
      <c r="B11" s="806"/>
      <c r="C11" s="72"/>
      <c r="D11" s="173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335"/>
      <c r="X11" s="72"/>
      <c r="Y11" s="72"/>
      <c r="Z11" s="72"/>
      <c r="AA11" s="72"/>
      <c r="AB11" s="64"/>
      <c r="AC11" s="72"/>
      <c r="AD11" s="261"/>
      <c r="AE11" s="331"/>
      <c r="AF11" s="331"/>
      <c r="AG11" s="331"/>
      <c r="AH11" s="331"/>
      <c r="AI11" s="331"/>
    </row>
    <row r="12" spans="1:35" s="22" customFormat="1" ht="18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335"/>
      <c r="X12" s="72"/>
      <c r="Y12" s="72"/>
      <c r="Z12" s="72"/>
      <c r="AA12" s="72"/>
      <c r="AB12" s="64"/>
      <c r="AC12" s="72"/>
      <c r="AD12" s="261"/>
      <c r="AE12" s="331"/>
      <c r="AF12" s="331"/>
      <c r="AG12" s="331"/>
      <c r="AH12" s="331"/>
      <c r="AI12" s="331"/>
    </row>
    <row r="13" spans="1:35" s="22" customFormat="1" ht="18" customHeight="1">
      <c r="A13" s="72"/>
      <c r="B13" s="335"/>
      <c r="C13" s="335"/>
      <c r="D13" s="335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335"/>
      <c r="X13" s="72"/>
      <c r="Y13" s="72"/>
      <c r="Z13" s="72"/>
      <c r="AA13" s="72"/>
      <c r="AB13" s="64"/>
      <c r="AC13" s="72"/>
      <c r="AD13" s="261"/>
      <c r="AE13" s="331"/>
      <c r="AF13" s="331"/>
      <c r="AG13" s="331"/>
      <c r="AH13" s="331"/>
      <c r="AI13" s="331"/>
    </row>
    <row r="14" spans="1:35" s="22" customFormat="1" ht="18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335"/>
      <c r="X14" s="72"/>
      <c r="Y14" s="72"/>
      <c r="Z14" s="72"/>
      <c r="AA14" s="72"/>
      <c r="AB14" s="64"/>
      <c r="AC14" s="72"/>
      <c r="AD14" s="261"/>
      <c r="AE14" s="331"/>
      <c r="AF14" s="331"/>
      <c r="AG14" s="331"/>
      <c r="AH14" s="331"/>
      <c r="AI14" s="331"/>
    </row>
    <row r="15" spans="1:35" s="22" customFormat="1" ht="18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335"/>
      <c r="X15" s="72"/>
      <c r="Y15" s="72"/>
      <c r="Z15" s="72"/>
      <c r="AA15" s="72"/>
      <c r="AB15" s="64"/>
      <c r="AC15" s="72"/>
      <c r="AD15" s="261"/>
      <c r="AE15" s="331"/>
      <c r="AF15" s="331"/>
      <c r="AG15" s="331"/>
      <c r="AH15" s="331"/>
      <c r="AI15" s="331"/>
    </row>
    <row r="16" spans="1:35" s="22" customFormat="1" ht="18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335"/>
      <c r="X16" s="72"/>
      <c r="Y16" s="72"/>
      <c r="Z16" s="72"/>
      <c r="AA16" s="72"/>
      <c r="AB16" s="64"/>
      <c r="AC16" s="72"/>
      <c r="AD16" s="261"/>
      <c r="AE16" s="331"/>
      <c r="AF16" s="331"/>
      <c r="AG16" s="331"/>
      <c r="AH16" s="331"/>
      <c r="AI16" s="331"/>
    </row>
    <row r="17" spans="1:35" s="22" customFormat="1" ht="18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353" t="s">
        <v>187</v>
      </c>
      <c r="U17" s="353"/>
      <c r="V17" s="353"/>
      <c r="W17" s="355"/>
      <c r="X17" s="72"/>
      <c r="Y17" s="72"/>
      <c r="Z17" s="72"/>
      <c r="AA17" s="72"/>
      <c r="AB17" s="64"/>
      <c r="AC17" s="72"/>
      <c r="AD17" s="261"/>
      <c r="AE17" s="331"/>
      <c r="AF17" s="331"/>
      <c r="AG17" s="331"/>
      <c r="AH17" s="331"/>
      <c r="AI17" s="331"/>
    </row>
    <row r="18" spans="1:35" s="22" customFormat="1" ht="18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544">
        <f>$L$8</f>
        <v>1800</v>
      </c>
      <c r="V18" s="544"/>
      <c r="W18" s="335"/>
      <c r="X18" s="72"/>
      <c r="Y18" s="72"/>
      <c r="Z18" s="72"/>
      <c r="AA18" s="72"/>
      <c r="AB18" s="64"/>
      <c r="AC18" s="72"/>
      <c r="AD18" s="261"/>
      <c r="AE18" s="331"/>
      <c r="AF18" s="331"/>
      <c r="AG18" s="331"/>
      <c r="AH18" s="331"/>
      <c r="AI18" s="331"/>
    </row>
    <row r="19" spans="1:35" s="22" customFormat="1" ht="18" customHeight="1">
      <c r="A19" s="72"/>
      <c r="B19" s="72"/>
      <c r="C19" s="335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43"/>
      <c r="Q19" s="112"/>
      <c r="R19" s="112"/>
      <c r="S19" s="72"/>
      <c r="T19" s="72"/>
      <c r="U19" s="72"/>
      <c r="V19" s="72"/>
      <c r="W19" s="72"/>
      <c r="X19" s="72"/>
      <c r="Y19" s="72"/>
      <c r="Z19" s="72"/>
      <c r="AA19" s="72"/>
      <c r="AB19" s="64"/>
      <c r="AC19" s="72"/>
      <c r="AD19" s="261"/>
      <c r="AE19" s="331"/>
      <c r="AF19" s="331"/>
      <c r="AG19" s="331"/>
      <c r="AH19" s="331"/>
      <c r="AI19" s="331"/>
    </row>
    <row r="20" spans="1:35" s="22" customFormat="1" ht="18" customHeight="1">
      <c r="A20" s="72"/>
      <c r="B20" s="72"/>
      <c r="C20" s="72" t="s">
        <v>188</v>
      </c>
      <c r="D20" s="72"/>
      <c r="E20" s="72"/>
      <c r="F20" s="72"/>
      <c r="G20" s="545">
        <f>$L$8</f>
        <v>1800</v>
      </c>
      <c r="H20" s="828"/>
      <c r="I20" s="72" t="s">
        <v>417</v>
      </c>
      <c r="J20" s="72"/>
      <c r="K20" s="72"/>
      <c r="L20" s="72"/>
      <c r="M20" s="72"/>
      <c r="N20" s="72"/>
      <c r="O20" s="50"/>
      <c r="P20" s="50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64"/>
      <c r="AC20" s="72"/>
      <c r="AD20" s="261"/>
      <c r="AE20" s="331"/>
      <c r="AF20" s="331"/>
      <c r="AG20" s="331"/>
      <c r="AH20" s="331"/>
      <c r="AI20" s="331"/>
    </row>
    <row r="21" spans="1:35" s="22" customFormat="1" ht="18" customHeight="1">
      <c r="A21" s="72"/>
      <c r="B21" s="72"/>
      <c r="C21" s="335"/>
      <c r="D21" s="72"/>
      <c r="E21" s="72"/>
      <c r="F21" s="72"/>
      <c r="G21" s="72"/>
      <c r="H21" s="72"/>
      <c r="I21" s="72"/>
      <c r="J21" s="72"/>
      <c r="K21" s="72"/>
      <c r="L21" s="79"/>
      <c r="M21" s="43"/>
      <c r="N21" s="112"/>
      <c r="O21" s="11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64"/>
      <c r="AC21" s="72"/>
      <c r="AD21" s="261"/>
      <c r="AE21" s="331"/>
      <c r="AF21" s="331"/>
      <c r="AG21" s="331"/>
      <c r="AH21" s="331"/>
      <c r="AI21" s="331"/>
    </row>
    <row r="22" spans="1:35" s="22" customFormat="1" ht="18" customHeight="1">
      <c r="A22" s="72"/>
      <c r="B22" s="72"/>
      <c r="C22" s="335"/>
      <c r="D22" s="828" t="s">
        <v>550</v>
      </c>
      <c r="E22" s="828"/>
      <c r="F22" s="828"/>
      <c r="G22" s="828"/>
      <c r="H22" s="828"/>
      <c r="I22" s="828"/>
      <c r="J22" s="828"/>
      <c r="K22" s="828"/>
      <c r="L22" s="544">
        <f>'朝顔'!$T$65</f>
        <v>334</v>
      </c>
      <c r="M22" s="829"/>
      <c r="N22" s="340" t="s">
        <v>418</v>
      </c>
      <c r="O22" s="814">
        <f>$B$7/1000</f>
        <v>1.217</v>
      </c>
      <c r="P22" s="814"/>
      <c r="Q22" s="340" t="s">
        <v>419</v>
      </c>
      <c r="R22" s="544">
        <f>$L$22*$O$22</f>
        <v>406</v>
      </c>
      <c r="S22" s="544"/>
      <c r="T22" s="72" t="s">
        <v>420</v>
      </c>
      <c r="U22" s="72"/>
      <c r="V22" s="72"/>
      <c r="W22" s="72"/>
      <c r="X22" s="72"/>
      <c r="Y22" s="72"/>
      <c r="Z22" s="72"/>
      <c r="AA22" s="72"/>
      <c r="AB22" s="64"/>
      <c r="AC22" s="72"/>
      <c r="AD22" s="261"/>
      <c r="AE22" s="331"/>
      <c r="AF22" s="331"/>
      <c r="AG22" s="331"/>
      <c r="AH22" s="331"/>
      <c r="AI22" s="331"/>
    </row>
    <row r="23" spans="1:35" s="22" customFormat="1" ht="18" customHeight="1">
      <c r="A23" s="72"/>
      <c r="B23" s="72"/>
      <c r="C23" s="335"/>
      <c r="D23" s="72"/>
      <c r="E23" s="72"/>
      <c r="F23" s="72"/>
      <c r="G23" s="72"/>
      <c r="H23" s="72"/>
      <c r="I23" s="72"/>
      <c r="J23" s="72"/>
      <c r="K23" s="72"/>
      <c r="L23" s="72"/>
      <c r="M23" s="64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64"/>
      <c r="AC23" s="72"/>
      <c r="AD23" s="261"/>
      <c r="AE23" s="331"/>
      <c r="AF23" s="331"/>
      <c r="AG23" s="331"/>
      <c r="AH23" s="331"/>
      <c r="AI23" s="331"/>
    </row>
    <row r="24" spans="1:35" s="22" customFormat="1" ht="18" customHeight="1">
      <c r="A24" s="72"/>
      <c r="B24" s="72"/>
      <c r="C24" s="72"/>
      <c r="D24" s="541" t="s">
        <v>518</v>
      </c>
      <c r="E24" s="541" t="s">
        <v>96</v>
      </c>
      <c r="F24" s="516" t="s">
        <v>421</v>
      </c>
      <c r="G24" s="516"/>
      <c r="H24" s="802" t="s">
        <v>422</v>
      </c>
      <c r="I24" s="830">
        <f>$R$22</f>
        <v>406</v>
      </c>
      <c r="J24" s="830"/>
      <c r="K24" s="351" t="s">
        <v>418</v>
      </c>
      <c r="L24" s="810">
        <f>$U$18/1000</f>
        <v>1.8</v>
      </c>
      <c r="M24" s="810"/>
      <c r="N24" s="357" t="s">
        <v>423</v>
      </c>
      <c r="O24" s="802" t="s">
        <v>422</v>
      </c>
      <c r="P24" s="726">
        <f>$I$24*$L$24^2/$K$25</f>
        <v>164</v>
      </c>
      <c r="Q24" s="726"/>
      <c r="R24" s="828" t="s">
        <v>424</v>
      </c>
      <c r="S24" s="828"/>
      <c r="T24" s="72"/>
      <c r="U24" s="72"/>
      <c r="V24" s="72"/>
      <c r="W24" s="72"/>
      <c r="X24" s="72"/>
      <c r="Y24" s="72"/>
      <c r="Z24" s="72"/>
      <c r="AA24" s="72"/>
      <c r="AB24" s="64"/>
      <c r="AC24" s="72"/>
      <c r="AD24" s="261"/>
      <c r="AE24" s="331"/>
      <c r="AF24" s="331"/>
      <c r="AG24" s="331"/>
      <c r="AH24" s="331"/>
      <c r="AI24" s="331"/>
    </row>
    <row r="25" spans="1:35" s="22" customFormat="1" ht="18" customHeight="1">
      <c r="A25" s="72"/>
      <c r="B25" s="72"/>
      <c r="C25" s="72"/>
      <c r="D25" s="541"/>
      <c r="E25" s="541"/>
      <c r="F25" s="541">
        <v>8</v>
      </c>
      <c r="G25" s="541"/>
      <c r="H25" s="802"/>
      <c r="I25" s="72"/>
      <c r="J25" s="72"/>
      <c r="K25" s="340">
        <v>8</v>
      </c>
      <c r="L25" s="72"/>
      <c r="M25" s="64"/>
      <c r="N25" s="358"/>
      <c r="O25" s="802"/>
      <c r="P25" s="726"/>
      <c r="Q25" s="726"/>
      <c r="R25" s="828"/>
      <c r="S25" s="828"/>
      <c r="T25" s="72"/>
      <c r="U25" s="72"/>
      <c r="V25" s="72"/>
      <c r="W25" s="72"/>
      <c r="X25" s="72"/>
      <c r="Y25" s="72"/>
      <c r="Z25" s="72"/>
      <c r="AA25" s="72"/>
      <c r="AB25" s="64"/>
      <c r="AC25" s="72"/>
      <c r="AD25" s="261"/>
      <c r="AE25" s="331"/>
      <c r="AF25" s="331"/>
      <c r="AG25" s="331"/>
      <c r="AH25" s="331"/>
      <c r="AI25" s="331"/>
    </row>
    <row r="26" spans="1:35" s="22" customFormat="1" ht="18" customHeight="1">
      <c r="A26" s="72"/>
      <c r="B26" s="72"/>
      <c r="C26" s="72"/>
      <c r="D26" s="42"/>
      <c r="E26" s="42"/>
      <c r="F26" s="42"/>
      <c r="G26" s="42"/>
      <c r="H26" s="340"/>
      <c r="I26" s="72"/>
      <c r="J26" s="72"/>
      <c r="K26" s="340"/>
      <c r="L26" s="72"/>
      <c r="M26" s="64"/>
      <c r="N26" s="72"/>
      <c r="O26" s="340"/>
      <c r="P26" s="344"/>
      <c r="Q26" s="344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64"/>
      <c r="AC26" s="72"/>
      <c r="AD26" s="261"/>
      <c r="AE26" s="331"/>
      <c r="AF26" s="331"/>
      <c r="AG26" s="331"/>
      <c r="AH26" s="331"/>
      <c r="AI26" s="331"/>
    </row>
    <row r="27" spans="1:35" s="22" customFormat="1" ht="18" customHeight="1">
      <c r="A27" s="72"/>
      <c r="B27" s="72"/>
      <c r="C27" s="72"/>
      <c r="D27" s="541" t="s">
        <v>519</v>
      </c>
      <c r="E27" s="541" t="s">
        <v>111</v>
      </c>
      <c r="F27" s="516" t="s">
        <v>425</v>
      </c>
      <c r="G27" s="516"/>
      <c r="H27" s="541" t="s">
        <v>0</v>
      </c>
      <c r="I27" s="525">
        <f>ROUND($P$24,0)*1000</f>
        <v>164000</v>
      </c>
      <c r="J27" s="525"/>
      <c r="K27" s="525"/>
      <c r="L27" s="541" t="s">
        <v>111</v>
      </c>
      <c r="M27" s="661">
        <f>$I$27/$I$28</f>
        <v>8</v>
      </c>
      <c r="N27" s="661"/>
      <c r="O27" s="518" t="s">
        <v>426</v>
      </c>
      <c r="P27" s="518"/>
      <c r="Q27" s="541" t="str">
        <f>IF($M$27&lt;=$F$30,"＜","＞")</f>
        <v>＜</v>
      </c>
      <c r="R27" s="519" t="s">
        <v>213</v>
      </c>
      <c r="S27" s="519"/>
      <c r="T27" s="540"/>
      <c r="U27" s="828">
        <v>1.3</v>
      </c>
      <c r="V27" s="828"/>
      <c r="W27" s="802" t="s">
        <v>418</v>
      </c>
      <c r="X27" s="579">
        <f>'使用材一覧'!$P$17</f>
        <v>165</v>
      </c>
      <c r="Y27" s="579"/>
      <c r="Z27" s="42"/>
      <c r="AA27" s="42"/>
      <c r="AB27" s="64"/>
      <c r="AC27" s="72"/>
      <c r="AD27" s="261"/>
      <c r="AE27" s="331"/>
      <c r="AF27" s="331"/>
      <c r="AG27" s="331"/>
      <c r="AH27" s="331"/>
      <c r="AI27" s="331"/>
    </row>
    <row r="28" spans="1:35" s="22" customFormat="1" ht="18" customHeight="1">
      <c r="A28" s="72"/>
      <c r="B28" s="72"/>
      <c r="C28" s="72"/>
      <c r="D28" s="541"/>
      <c r="E28" s="541"/>
      <c r="F28" s="541" t="s">
        <v>427</v>
      </c>
      <c r="G28" s="541"/>
      <c r="H28" s="541"/>
      <c r="I28" s="507">
        <f>'使用材一覧'!$P$15</f>
        <v>20100</v>
      </c>
      <c r="J28" s="507"/>
      <c r="K28" s="507"/>
      <c r="L28" s="541"/>
      <c r="M28" s="661"/>
      <c r="N28" s="661"/>
      <c r="O28" s="518"/>
      <c r="P28" s="518"/>
      <c r="Q28" s="541"/>
      <c r="R28" s="519"/>
      <c r="S28" s="519"/>
      <c r="T28" s="540"/>
      <c r="U28" s="828"/>
      <c r="V28" s="828"/>
      <c r="W28" s="802"/>
      <c r="X28" s="579"/>
      <c r="Y28" s="579"/>
      <c r="Z28" s="42"/>
      <c r="AA28" s="42"/>
      <c r="AB28" s="64"/>
      <c r="AC28" s="72"/>
      <c r="AD28" s="261"/>
      <c r="AE28" s="331"/>
      <c r="AF28" s="331"/>
      <c r="AG28" s="331"/>
      <c r="AH28" s="331"/>
      <c r="AI28" s="331"/>
    </row>
    <row r="29" spans="1:35" s="22" customFormat="1" ht="18" customHeight="1">
      <c r="A29" s="72"/>
      <c r="B29" s="72"/>
      <c r="C29" s="72"/>
      <c r="D29" s="42"/>
      <c r="E29" s="42"/>
      <c r="F29" s="42"/>
      <c r="G29" s="42"/>
      <c r="H29" s="340"/>
      <c r="I29" s="72"/>
      <c r="J29" s="72"/>
      <c r="K29" s="340"/>
      <c r="L29" s="72"/>
      <c r="M29" s="64"/>
      <c r="N29" s="72"/>
      <c r="O29" s="340"/>
      <c r="P29" s="344"/>
      <c r="Q29" s="344"/>
      <c r="R29" s="72"/>
      <c r="S29" s="72"/>
      <c r="T29" s="72"/>
      <c r="U29" s="72"/>
      <c r="V29" s="72"/>
      <c r="W29" s="72"/>
      <c r="X29" s="207"/>
      <c r="Y29" s="207"/>
      <c r="Z29" s="207"/>
      <c r="AA29" s="207"/>
      <c r="AB29" s="64"/>
      <c r="AC29" s="72"/>
      <c r="AD29" s="261"/>
      <c r="AE29" s="331"/>
      <c r="AF29" s="331"/>
      <c r="AG29" s="331"/>
      <c r="AH29" s="331"/>
      <c r="AI29" s="331"/>
    </row>
    <row r="30" spans="1:35" s="22" customFormat="1" ht="18" customHeight="1">
      <c r="A30" s="72"/>
      <c r="B30" s="72"/>
      <c r="C30" s="335"/>
      <c r="D30" s="72"/>
      <c r="E30" s="173" t="s">
        <v>111</v>
      </c>
      <c r="F30" s="584">
        <f>ROUNDDOWN($U$27*$X$27,0)</f>
        <v>214</v>
      </c>
      <c r="G30" s="584"/>
      <c r="H30" s="72" t="s">
        <v>428</v>
      </c>
      <c r="I30" s="72"/>
      <c r="J30" s="72"/>
      <c r="K30" s="684">
        <f>IF($M$27&lt;=$F$30,"","NG")</f>
      </c>
      <c r="L30" s="685"/>
      <c r="M30" s="68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207"/>
      <c r="Y30" s="207"/>
      <c r="Z30" s="207"/>
      <c r="AA30" s="207"/>
      <c r="AB30" s="64"/>
      <c r="AC30" s="72"/>
      <c r="AD30" s="261"/>
      <c r="AE30" s="331"/>
      <c r="AF30" s="331"/>
      <c r="AG30" s="331"/>
      <c r="AH30" s="331"/>
      <c r="AI30" s="331"/>
    </row>
    <row r="31" spans="1:35" s="22" customFormat="1" ht="18" customHeight="1">
      <c r="A31" s="72"/>
      <c r="B31" s="72"/>
      <c r="C31" s="173"/>
      <c r="D31" s="173"/>
      <c r="E31" s="173"/>
      <c r="F31" s="173"/>
      <c r="G31" s="37"/>
      <c r="H31" s="344"/>
      <c r="I31" s="340"/>
      <c r="J31" s="345"/>
      <c r="K31" s="345"/>
      <c r="L31" s="345"/>
      <c r="M31" s="342"/>
      <c r="N31" s="34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261"/>
      <c r="AC31" s="261"/>
      <c r="AD31" s="261"/>
      <c r="AE31" s="331"/>
      <c r="AF31" s="331"/>
      <c r="AG31" s="331"/>
      <c r="AH31" s="331"/>
      <c r="AI31" s="331"/>
    </row>
    <row r="32" spans="1:35" ht="13.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80"/>
      <c r="AE32" s="17"/>
      <c r="AF32" s="17"/>
      <c r="AG32" s="17"/>
      <c r="AH32" s="17"/>
      <c r="AI32" s="17"/>
    </row>
    <row r="33" spans="1:35" ht="13.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80"/>
      <c r="AE33" s="17"/>
      <c r="AF33" s="17"/>
      <c r="AG33" s="17"/>
      <c r="AH33" s="17"/>
      <c r="AI33" s="17"/>
    </row>
    <row r="34" spans="1:35" ht="13.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80"/>
      <c r="AE34" s="17"/>
      <c r="AF34" s="17"/>
      <c r="AG34" s="17"/>
      <c r="AH34" s="17"/>
      <c r="AI34" s="17"/>
    </row>
    <row r="35" spans="1:35" ht="13.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80"/>
      <c r="AE35" s="17"/>
      <c r="AF35" s="17"/>
      <c r="AG35" s="17"/>
      <c r="AH35" s="17"/>
      <c r="AI35" s="17"/>
    </row>
    <row r="36" spans="1:35" ht="13.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80"/>
      <c r="AE36" s="17"/>
      <c r="AF36" s="17"/>
      <c r="AG36" s="17"/>
      <c r="AH36" s="17"/>
      <c r="AI36" s="17"/>
    </row>
    <row r="37" spans="1:35" ht="13.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80"/>
      <c r="AE37" s="17"/>
      <c r="AF37" s="17"/>
      <c r="AG37" s="17"/>
      <c r="AH37" s="17"/>
      <c r="AI37" s="17"/>
    </row>
    <row r="38" spans="1:35" ht="13.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80"/>
      <c r="AE38" s="17"/>
      <c r="AF38" s="17"/>
      <c r="AG38" s="17"/>
      <c r="AH38" s="17"/>
      <c r="AI38" s="17"/>
    </row>
    <row r="39" spans="1:35" ht="13.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80"/>
      <c r="AE39" s="17"/>
      <c r="AF39" s="17"/>
      <c r="AG39" s="17"/>
      <c r="AH39" s="17"/>
      <c r="AI39" s="17"/>
    </row>
    <row r="40" spans="1:35" ht="13.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80"/>
      <c r="AE40" s="17"/>
      <c r="AF40" s="17"/>
      <c r="AG40" s="17"/>
      <c r="AH40" s="17"/>
      <c r="AI40" s="17"/>
    </row>
    <row r="41" spans="1:35" ht="13.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80"/>
      <c r="AE41" s="17"/>
      <c r="AF41" s="17"/>
      <c r="AG41" s="17"/>
      <c r="AH41" s="17"/>
      <c r="AI41" s="17"/>
    </row>
    <row r="42" spans="1:35" ht="13.5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80"/>
      <c r="AE42" s="17"/>
      <c r="AF42" s="17"/>
      <c r="AG42" s="17"/>
      <c r="AH42" s="17"/>
      <c r="AI42" s="17"/>
    </row>
    <row r="43" spans="1:35" ht="13.5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80"/>
      <c r="AE43" s="17"/>
      <c r="AF43" s="17"/>
      <c r="AG43" s="17"/>
      <c r="AH43" s="17"/>
      <c r="AI43" s="17"/>
    </row>
    <row r="44" spans="1:30" ht="13.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5"/>
    </row>
    <row r="45" spans="1:30" ht="13.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5"/>
    </row>
  </sheetData>
  <sheetProtection sheet="1" objects="1" scenarios="1"/>
  <mergeCells count="36">
    <mergeCell ref="O24:O25"/>
    <mergeCell ref="P24:Q25"/>
    <mergeCell ref="R24:S25"/>
    <mergeCell ref="D24:D25"/>
    <mergeCell ref="E24:E25"/>
    <mergeCell ref="F30:G30"/>
    <mergeCell ref="L8:M8"/>
    <mergeCell ref="F24:G24"/>
    <mergeCell ref="F25:G25"/>
    <mergeCell ref="H24:H25"/>
    <mergeCell ref="I24:J24"/>
    <mergeCell ref="L24:M24"/>
    <mergeCell ref="I27:K27"/>
    <mergeCell ref="L27:L28"/>
    <mergeCell ref="M27:N28"/>
    <mergeCell ref="B7:B9"/>
    <mergeCell ref="B10:B11"/>
    <mergeCell ref="U18:V18"/>
    <mergeCell ref="D22:K22"/>
    <mergeCell ref="L22:M22"/>
    <mergeCell ref="O22:P22"/>
    <mergeCell ref="R22:S22"/>
    <mergeCell ref="G20:H20"/>
    <mergeCell ref="F27:G27"/>
    <mergeCell ref="H27:H28"/>
    <mergeCell ref="F28:G28"/>
    <mergeCell ref="D27:D28"/>
    <mergeCell ref="E27:E28"/>
    <mergeCell ref="K30:M30"/>
    <mergeCell ref="O27:P28"/>
    <mergeCell ref="Q27:Q28"/>
    <mergeCell ref="X27:Y28"/>
    <mergeCell ref="I28:K28"/>
    <mergeCell ref="R27:T28"/>
    <mergeCell ref="U27:V28"/>
    <mergeCell ref="W27:W28"/>
  </mergeCell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3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30" width="3.3984375" style="1" customWidth="1"/>
    <col min="31" max="31" width="3.09765625" style="1" customWidth="1"/>
    <col min="32" max="16384" width="4.69921875" style="1" customWidth="1"/>
  </cols>
  <sheetData>
    <row r="1" spans="2:33" ht="18" customHeight="1">
      <c r="B1" s="484" t="s">
        <v>806</v>
      </c>
      <c r="C1" s="36"/>
      <c r="D1" s="36"/>
      <c r="E1" s="36"/>
      <c r="F1" s="36"/>
      <c r="G1" s="36"/>
      <c r="H1" s="50"/>
      <c r="I1" s="50"/>
      <c r="J1" s="50"/>
      <c r="K1" s="50"/>
      <c r="L1" s="36"/>
      <c r="M1" s="41"/>
      <c r="N1" s="28"/>
      <c r="O1" s="28"/>
      <c r="P1" s="36"/>
      <c r="Q1" s="41"/>
      <c r="R1" s="4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17"/>
      <c r="AF1" s="17"/>
      <c r="AG1" s="17"/>
    </row>
    <row r="2" spans="1:33" ht="18" customHeight="1">
      <c r="A2" s="80"/>
      <c r="B2" s="80"/>
      <c r="C2" s="36" t="s">
        <v>168</v>
      </c>
      <c r="D2" s="36"/>
      <c r="E2" s="36"/>
      <c r="F2" s="36"/>
      <c r="G2" s="36"/>
      <c r="H2" s="50"/>
      <c r="I2" s="36"/>
      <c r="J2" s="36"/>
      <c r="K2" s="102"/>
      <c r="L2" s="102"/>
      <c r="M2" s="75"/>
      <c r="N2" s="75"/>
      <c r="O2" s="112"/>
      <c r="P2" s="36"/>
      <c r="Q2" s="36"/>
      <c r="R2" s="36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17"/>
      <c r="AF2" s="17"/>
      <c r="AG2" s="17"/>
    </row>
    <row r="3" spans="1:33" ht="18" customHeight="1">
      <c r="A3" s="80"/>
      <c r="B3" s="79" t="s">
        <v>169</v>
      </c>
      <c r="C3" s="36"/>
      <c r="D3" s="36"/>
      <c r="E3" s="36"/>
      <c r="F3" s="36"/>
      <c r="G3" s="36"/>
      <c r="H3" s="36"/>
      <c r="I3" s="36"/>
      <c r="J3" s="36"/>
      <c r="K3" s="41"/>
      <c r="L3" s="41"/>
      <c r="M3" s="75"/>
      <c r="N3" s="75"/>
      <c r="O3" s="164"/>
      <c r="P3" s="36"/>
      <c r="Q3" s="36"/>
      <c r="R3" s="36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17"/>
      <c r="AF3" s="17"/>
      <c r="AG3" s="17"/>
    </row>
    <row r="4" spans="1:33" s="22" customFormat="1" ht="18" customHeight="1">
      <c r="A4" s="72"/>
      <c r="B4" s="72"/>
      <c r="C4" s="335"/>
      <c r="D4" s="72"/>
      <c r="E4" s="72"/>
      <c r="F4" s="72"/>
      <c r="G4" s="72"/>
      <c r="H4" s="72"/>
      <c r="I4" s="72"/>
      <c r="J4" s="72"/>
      <c r="K4" s="72"/>
      <c r="L4" s="353"/>
      <c r="M4" s="353"/>
      <c r="N4" s="353"/>
      <c r="O4" s="359"/>
      <c r="P4" s="72"/>
      <c r="Q4" s="72"/>
      <c r="R4" s="64"/>
      <c r="S4" s="64"/>
      <c r="T4" s="72"/>
      <c r="U4" s="72"/>
      <c r="V4" s="72"/>
      <c r="W4" s="72"/>
      <c r="X4" s="72"/>
      <c r="Y4" s="72"/>
      <c r="Z4" s="72"/>
      <c r="AA4" s="72"/>
      <c r="AB4" s="72"/>
      <c r="AC4" s="72"/>
      <c r="AD4" s="261"/>
      <c r="AE4" s="331"/>
      <c r="AF4" s="331"/>
      <c r="AG4" s="331"/>
    </row>
    <row r="5" spans="1:33" s="22" customFormat="1" ht="18" customHeight="1">
      <c r="A5" s="72"/>
      <c r="B5" s="72"/>
      <c r="C5" s="72"/>
      <c r="D5" s="335"/>
      <c r="E5" s="72"/>
      <c r="F5" s="72"/>
      <c r="G5" s="72"/>
      <c r="H5" s="72"/>
      <c r="I5" s="72"/>
      <c r="J5" s="72"/>
      <c r="K5" s="72"/>
      <c r="L5" s="72"/>
      <c r="M5" s="783"/>
      <c r="N5" s="783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261"/>
      <c r="AD5" s="261"/>
      <c r="AE5" s="331"/>
      <c r="AF5" s="331"/>
      <c r="AG5" s="331"/>
    </row>
    <row r="6" spans="1:33" s="22" customFormat="1" ht="18" customHeight="1">
      <c r="A6" s="72"/>
      <c r="B6" s="72"/>
      <c r="C6" s="72"/>
      <c r="D6" s="72"/>
      <c r="E6" s="72"/>
      <c r="F6" s="157" t="s">
        <v>429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335"/>
      <c r="Y6" s="72"/>
      <c r="Z6" s="72"/>
      <c r="AA6" s="72"/>
      <c r="AB6" s="261"/>
      <c r="AC6" s="261"/>
      <c r="AD6" s="261"/>
      <c r="AE6" s="331"/>
      <c r="AF6" s="331"/>
      <c r="AG6" s="331"/>
    </row>
    <row r="7" spans="1:33" s="22" customFormat="1" ht="18" customHeight="1">
      <c r="A7" s="72"/>
      <c r="B7" s="72"/>
      <c r="C7" s="72"/>
      <c r="D7" s="72"/>
      <c r="E7" s="72"/>
      <c r="F7" s="72"/>
      <c r="G7" s="72"/>
      <c r="H7" s="72"/>
      <c r="I7" s="340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335"/>
      <c r="Y7" s="72"/>
      <c r="Z7" s="64"/>
      <c r="AA7" s="64"/>
      <c r="AB7" s="261"/>
      <c r="AC7" s="261"/>
      <c r="AD7" s="261"/>
      <c r="AE7" s="331"/>
      <c r="AF7" s="331"/>
      <c r="AG7" s="331"/>
    </row>
    <row r="8" spans="1:33" s="22" customFormat="1" ht="18" customHeight="1">
      <c r="A8" s="72"/>
      <c r="B8" s="72"/>
      <c r="C8" s="72"/>
      <c r="D8" s="336"/>
      <c r="E8" s="72"/>
      <c r="F8" s="72"/>
      <c r="G8" s="72"/>
      <c r="H8" s="72"/>
      <c r="I8" s="72"/>
      <c r="J8" s="72"/>
      <c r="K8" s="72"/>
      <c r="L8" s="72"/>
      <c r="M8" s="801">
        <f>'朝顔チェーン'!$F$30</f>
        <v>2433</v>
      </c>
      <c r="N8" s="72"/>
      <c r="O8" s="261"/>
      <c r="P8" s="72"/>
      <c r="Q8" s="826" t="s">
        <v>172</v>
      </c>
      <c r="R8" s="519"/>
      <c r="S8" s="519"/>
      <c r="T8" s="72"/>
      <c r="U8" s="72"/>
      <c r="V8" s="72"/>
      <c r="W8" s="72"/>
      <c r="X8" s="335"/>
      <c r="Y8" s="72"/>
      <c r="Z8" s="64"/>
      <c r="AA8" s="64"/>
      <c r="AB8" s="261"/>
      <c r="AC8" s="261"/>
      <c r="AD8" s="261"/>
      <c r="AE8" s="331"/>
      <c r="AF8" s="331"/>
      <c r="AG8" s="331"/>
    </row>
    <row r="9" spans="1:33" s="22" customFormat="1" ht="18" customHeight="1">
      <c r="A9" s="72"/>
      <c r="B9" s="72"/>
      <c r="C9" s="72"/>
      <c r="D9" s="336"/>
      <c r="E9" s="72"/>
      <c r="F9" s="72"/>
      <c r="G9" s="72"/>
      <c r="H9" s="72"/>
      <c r="I9" s="72"/>
      <c r="J9" s="833">
        <f>SQRT($M$8^2+('朝顔'!$J$2-'朝顔'!$L$22)^2)</f>
        <v>2630.49215927362</v>
      </c>
      <c r="K9" s="833"/>
      <c r="L9" s="72"/>
      <c r="M9" s="801"/>
      <c r="N9" s="72"/>
      <c r="O9" s="72"/>
      <c r="P9" s="72"/>
      <c r="Q9" s="72"/>
      <c r="R9" s="72"/>
      <c r="S9" s="72"/>
      <c r="T9" s="72"/>
      <c r="U9" s="72"/>
      <c r="V9" s="72"/>
      <c r="W9" s="72"/>
      <c r="X9" s="335"/>
      <c r="Y9" s="72"/>
      <c r="Z9" s="338"/>
      <c r="AA9" s="72"/>
      <c r="AB9" s="261"/>
      <c r="AC9" s="261"/>
      <c r="AD9" s="261"/>
      <c r="AE9" s="331"/>
      <c r="AF9" s="331"/>
      <c r="AG9" s="331"/>
    </row>
    <row r="10" spans="1:33" s="22" customFormat="1" ht="18" customHeight="1">
      <c r="A10" s="261"/>
      <c r="B10" s="72"/>
      <c r="C10" s="72"/>
      <c r="D10" s="157"/>
      <c r="E10" s="72"/>
      <c r="F10" s="72"/>
      <c r="G10" s="72"/>
      <c r="H10" s="72"/>
      <c r="I10" s="72"/>
      <c r="J10" s="72"/>
      <c r="K10" s="72"/>
      <c r="L10" s="72"/>
      <c r="M10" s="801"/>
      <c r="N10" s="72"/>
      <c r="O10" s="72"/>
      <c r="P10" s="72"/>
      <c r="Q10" s="72"/>
      <c r="R10" s="72"/>
      <c r="S10" s="72"/>
      <c r="T10" s="72"/>
      <c r="U10" s="72"/>
      <c r="V10" s="72"/>
      <c r="W10" s="335"/>
      <c r="X10" s="72"/>
      <c r="Y10" s="72"/>
      <c r="Z10" s="72"/>
      <c r="AA10" s="72"/>
      <c r="AB10" s="261"/>
      <c r="AC10" s="261"/>
      <c r="AD10" s="261"/>
      <c r="AE10" s="331"/>
      <c r="AF10" s="331"/>
      <c r="AG10" s="331"/>
    </row>
    <row r="11" spans="1:33" s="22" customFormat="1" ht="18" customHeight="1">
      <c r="A11" s="72"/>
      <c r="B11" s="353" t="s">
        <v>170</v>
      </c>
      <c r="C11" s="360"/>
      <c r="D11" s="361"/>
      <c r="E11" s="353"/>
      <c r="F11" s="72"/>
      <c r="G11" s="339"/>
      <c r="H11" s="72"/>
      <c r="I11" s="72"/>
      <c r="J11" s="72"/>
      <c r="K11" s="72"/>
      <c r="L11" s="72"/>
      <c r="M11" s="805" t="s">
        <v>430</v>
      </c>
      <c r="N11" s="72"/>
      <c r="O11" s="72"/>
      <c r="P11" s="72"/>
      <c r="Q11" s="64"/>
      <c r="R11" s="72"/>
      <c r="S11" s="72"/>
      <c r="T11" s="72"/>
      <c r="U11" s="72"/>
      <c r="V11" s="72"/>
      <c r="W11" s="72"/>
      <c r="X11" s="335"/>
      <c r="Y11" s="72"/>
      <c r="Z11" s="72"/>
      <c r="AA11" s="72"/>
      <c r="AB11" s="261"/>
      <c r="AC11" s="261"/>
      <c r="AD11" s="261"/>
      <c r="AE11" s="331"/>
      <c r="AF11" s="331"/>
      <c r="AG11" s="331"/>
    </row>
    <row r="12" spans="1:33" s="22" customFormat="1" ht="18" customHeight="1">
      <c r="A12" s="72"/>
      <c r="B12" s="72"/>
      <c r="C12" s="72"/>
      <c r="D12" s="354"/>
      <c r="E12" s="72"/>
      <c r="F12" s="72"/>
      <c r="G12" s="72"/>
      <c r="H12" s="72"/>
      <c r="I12" s="72"/>
      <c r="J12" s="72"/>
      <c r="K12" s="72"/>
      <c r="L12" s="72"/>
      <c r="M12" s="806"/>
      <c r="N12" s="72"/>
      <c r="O12" s="353" t="s">
        <v>70</v>
      </c>
      <c r="P12" s="353"/>
      <c r="Q12" s="353"/>
      <c r="R12" s="359"/>
      <c r="S12" s="79"/>
      <c r="T12" s="72"/>
      <c r="U12" s="72"/>
      <c r="V12" s="72"/>
      <c r="W12" s="72"/>
      <c r="X12" s="335"/>
      <c r="Y12" s="72"/>
      <c r="Z12" s="72"/>
      <c r="AA12" s="72"/>
      <c r="AB12" s="261"/>
      <c r="AC12" s="261"/>
      <c r="AD12" s="261"/>
      <c r="AE12" s="331"/>
      <c r="AF12" s="331"/>
      <c r="AG12" s="331"/>
    </row>
    <row r="13" spans="1:33" s="22" customFormat="1" ht="18" customHeight="1">
      <c r="A13" s="72"/>
      <c r="B13" s="72"/>
      <c r="C13" s="72"/>
      <c r="D13" s="173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 t="s">
        <v>222</v>
      </c>
      <c r="P13" s="783">
        <f>'朝顔チェーン'!$U$28</f>
        <v>1000</v>
      </c>
      <c r="Q13" s="783"/>
      <c r="R13" s="72"/>
      <c r="S13" s="72"/>
      <c r="T13" s="72"/>
      <c r="U13" s="72"/>
      <c r="V13" s="72"/>
      <c r="W13" s="72"/>
      <c r="X13" s="335"/>
      <c r="Y13" s="72"/>
      <c r="Z13" s="72"/>
      <c r="AA13" s="72"/>
      <c r="AB13" s="261"/>
      <c r="AC13" s="261"/>
      <c r="AD13" s="261"/>
      <c r="AE13" s="331"/>
      <c r="AF13" s="331"/>
      <c r="AG13" s="331"/>
    </row>
    <row r="14" spans="1:33" s="22" customFormat="1" ht="18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64"/>
      <c r="R14" s="72"/>
      <c r="S14" s="72"/>
      <c r="T14" s="72"/>
      <c r="U14" s="72"/>
      <c r="V14" s="72"/>
      <c r="W14" s="72"/>
      <c r="X14" s="335"/>
      <c r="Y14" s="72"/>
      <c r="Z14" s="72"/>
      <c r="AA14" s="72"/>
      <c r="AB14" s="261"/>
      <c r="AC14" s="261"/>
      <c r="AD14" s="261"/>
      <c r="AE14" s="331"/>
      <c r="AF14" s="331"/>
      <c r="AG14" s="331"/>
    </row>
    <row r="15" spans="1:33" s="22" customFormat="1" ht="18" customHeight="1">
      <c r="A15" s="72"/>
      <c r="B15" s="353" t="s">
        <v>171</v>
      </c>
      <c r="C15" s="355"/>
      <c r="D15" s="355"/>
      <c r="E15" s="353"/>
      <c r="F15" s="353"/>
      <c r="G15" s="353"/>
      <c r="H15" s="72"/>
      <c r="I15" s="72"/>
      <c r="J15" s="72"/>
      <c r="K15" s="72"/>
      <c r="L15" s="72"/>
      <c r="M15" s="72"/>
      <c r="N15" s="72"/>
      <c r="O15" s="353" t="s">
        <v>431</v>
      </c>
      <c r="P15" s="353"/>
      <c r="Q15" s="353"/>
      <c r="R15" s="72"/>
      <c r="S15" s="72"/>
      <c r="T15" s="72"/>
      <c r="U15" s="72"/>
      <c r="V15" s="72"/>
      <c r="W15" s="72"/>
      <c r="X15" s="335"/>
      <c r="Y15" s="72"/>
      <c r="Z15" s="72"/>
      <c r="AA15" s="72"/>
      <c r="AB15" s="261"/>
      <c r="AC15" s="261"/>
      <c r="AD15" s="261"/>
      <c r="AE15" s="331"/>
      <c r="AF15" s="331"/>
      <c r="AG15" s="331"/>
    </row>
    <row r="16" spans="1:33" s="22" customFormat="1" ht="18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 t="s">
        <v>222</v>
      </c>
      <c r="P16" s="783">
        <f>'朝顔'!$P$6</f>
        <v>1800</v>
      </c>
      <c r="Q16" s="783"/>
      <c r="R16" s="72"/>
      <c r="S16" s="72"/>
      <c r="T16" s="72"/>
      <c r="U16" s="72"/>
      <c r="V16" s="72"/>
      <c r="W16" s="72"/>
      <c r="X16" s="335"/>
      <c r="Y16" s="72"/>
      <c r="Z16" s="72"/>
      <c r="AA16" s="72"/>
      <c r="AB16" s="261"/>
      <c r="AC16" s="261"/>
      <c r="AD16" s="261"/>
      <c r="AE16" s="331"/>
      <c r="AF16" s="331"/>
      <c r="AG16" s="331"/>
    </row>
    <row r="17" spans="1:33" s="22" customFormat="1" ht="18" customHeight="1">
      <c r="A17" s="72"/>
      <c r="B17" s="72"/>
      <c r="C17" s="72" t="s">
        <v>173</v>
      </c>
      <c r="D17" s="72"/>
      <c r="E17" s="72"/>
      <c r="F17" s="544">
        <f>'朝顔'!$E$4</f>
        <v>1800</v>
      </c>
      <c r="G17" s="544"/>
      <c r="H17" s="72"/>
      <c r="I17" s="72"/>
      <c r="J17" s="72"/>
      <c r="K17" s="72"/>
      <c r="L17" s="72"/>
      <c r="M17" s="72"/>
      <c r="N17" s="72"/>
      <c r="O17" s="72"/>
      <c r="P17" s="72"/>
      <c r="Q17" s="64"/>
      <c r="R17" s="72"/>
      <c r="S17" s="72"/>
      <c r="T17" s="72"/>
      <c r="U17" s="72"/>
      <c r="V17" s="72"/>
      <c r="W17" s="72"/>
      <c r="X17" s="335"/>
      <c r="Y17" s="72"/>
      <c r="Z17" s="72"/>
      <c r="AA17" s="72"/>
      <c r="AB17" s="261"/>
      <c r="AC17" s="261"/>
      <c r="AD17" s="261"/>
      <c r="AE17" s="331"/>
      <c r="AF17" s="331"/>
      <c r="AG17" s="331"/>
    </row>
    <row r="18" spans="1:33" s="22" customFormat="1" ht="18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64"/>
      <c r="R18" s="72"/>
      <c r="S18" s="72"/>
      <c r="T18" s="72"/>
      <c r="U18" s="72"/>
      <c r="V18" s="72"/>
      <c r="W18" s="72"/>
      <c r="X18" s="335"/>
      <c r="Y18" s="72"/>
      <c r="Z18" s="72"/>
      <c r="AA18" s="72"/>
      <c r="AB18" s="261"/>
      <c r="AC18" s="261"/>
      <c r="AD18" s="261"/>
      <c r="AE18" s="331"/>
      <c r="AF18" s="331"/>
      <c r="AG18" s="331"/>
    </row>
    <row r="19" spans="1:33" s="22" customFormat="1" ht="18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64"/>
      <c r="R19" s="72"/>
      <c r="S19" s="72"/>
      <c r="T19" s="72"/>
      <c r="U19" s="72"/>
      <c r="V19" s="72"/>
      <c r="W19" s="72"/>
      <c r="X19" s="335"/>
      <c r="Y19" s="72"/>
      <c r="Z19" s="72"/>
      <c r="AA19" s="72"/>
      <c r="AB19" s="261"/>
      <c r="AC19" s="261"/>
      <c r="AD19" s="261"/>
      <c r="AE19" s="331"/>
      <c r="AF19" s="331"/>
      <c r="AG19" s="331"/>
    </row>
    <row r="20" spans="1:33" s="22" customFormat="1" ht="18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64"/>
      <c r="R20" s="72"/>
      <c r="S20" s="72"/>
      <c r="T20" s="72"/>
      <c r="U20" s="826" t="s">
        <v>432</v>
      </c>
      <c r="V20" s="826"/>
      <c r="W20" s="544">
        <f>$P$13</f>
        <v>1000</v>
      </c>
      <c r="X20" s="544"/>
      <c r="Y20" s="335"/>
      <c r="Z20" s="72"/>
      <c r="AA20" s="72"/>
      <c r="AB20" s="261"/>
      <c r="AC20" s="261"/>
      <c r="AD20" s="261"/>
      <c r="AE20" s="331"/>
      <c r="AF20" s="331"/>
      <c r="AG20" s="331"/>
    </row>
    <row r="21" spans="1:33" s="22" customFormat="1" ht="18" customHeight="1">
      <c r="A21" s="72"/>
      <c r="B21" s="72"/>
      <c r="C21" s="33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43"/>
      <c r="Q21" s="64"/>
      <c r="R21" s="112"/>
      <c r="S21" s="112"/>
      <c r="T21" s="72"/>
      <c r="U21" s="72"/>
      <c r="V21" s="72"/>
      <c r="W21" s="72"/>
      <c r="X21" s="72"/>
      <c r="Y21" s="72"/>
      <c r="Z21" s="72"/>
      <c r="AA21" s="72"/>
      <c r="AB21" s="261"/>
      <c r="AC21" s="261"/>
      <c r="AD21" s="261"/>
      <c r="AE21" s="331"/>
      <c r="AF21" s="331"/>
      <c r="AG21" s="331"/>
    </row>
    <row r="22" spans="1:33" s="22" customFormat="1" ht="18" customHeight="1">
      <c r="A22" s="72"/>
      <c r="B22" s="72"/>
      <c r="C22" s="72" t="s">
        <v>174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50"/>
      <c r="O22" s="50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64"/>
      <c r="AC22" s="72"/>
      <c r="AD22" s="261"/>
      <c r="AE22" s="331"/>
      <c r="AF22" s="331"/>
      <c r="AG22" s="331"/>
    </row>
    <row r="23" spans="1:33" s="22" customFormat="1" ht="18" customHeight="1">
      <c r="A23" s="72"/>
      <c r="B23" s="72"/>
      <c r="C23" s="335"/>
      <c r="D23" s="72"/>
      <c r="E23" s="72"/>
      <c r="F23" s="72"/>
      <c r="G23" s="72"/>
      <c r="H23" s="72"/>
      <c r="I23" s="72"/>
      <c r="J23" s="72"/>
      <c r="K23" s="72"/>
      <c r="L23" s="79"/>
      <c r="M23" s="43"/>
      <c r="N23" s="112"/>
      <c r="O23" s="11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64"/>
      <c r="AC23" s="72"/>
      <c r="AD23" s="261"/>
      <c r="AE23" s="331"/>
      <c r="AF23" s="331"/>
      <c r="AG23" s="331"/>
    </row>
    <row r="24" spans="1:33" s="22" customFormat="1" ht="18" customHeight="1">
      <c r="A24" s="72"/>
      <c r="B24" s="72"/>
      <c r="C24" s="335"/>
      <c r="D24" s="72" t="s">
        <v>226</v>
      </c>
      <c r="E24" s="72"/>
      <c r="F24" s="72"/>
      <c r="G24" s="340" t="s">
        <v>516</v>
      </c>
      <c r="H24" s="72" t="s">
        <v>552</v>
      </c>
      <c r="I24" s="72"/>
      <c r="J24" s="72"/>
      <c r="K24" s="72"/>
      <c r="L24" s="544">
        <f>'朝顔'!$T$65</f>
        <v>334</v>
      </c>
      <c r="M24" s="829"/>
      <c r="N24" s="340" t="s">
        <v>418</v>
      </c>
      <c r="O24" s="814">
        <f>$W$20/1000</f>
        <v>1</v>
      </c>
      <c r="P24" s="814"/>
      <c r="Q24" s="340" t="s">
        <v>111</v>
      </c>
      <c r="R24" s="544">
        <f>$L$24*$O$24</f>
        <v>334</v>
      </c>
      <c r="S24" s="544"/>
      <c r="T24" s="72" t="s">
        <v>420</v>
      </c>
      <c r="U24" s="72"/>
      <c r="V24" s="72"/>
      <c r="W24" s="72"/>
      <c r="X24" s="72"/>
      <c r="Y24" s="72"/>
      <c r="Z24" s="72"/>
      <c r="AA24" s="72"/>
      <c r="AB24" s="64"/>
      <c r="AC24" s="72"/>
      <c r="AD24" s="261"/>
      <c r="AE24" s="331"/>
      <c r="AF24" s="331"/>
      <c r="AG24" s="331"/>
    </row>
    <row r="25" spans="1:33" s="22" customFormat="1" ht="18" customHeight="1">
      <c r="A25" s="72"/>
      <c r="B25" s="72"/>
      <c r="C25" s="335"/>
      <c r="D25" s="72"/>
      <c r="E25" s="72"/>
      <c r="F25" s="72"/>
      <c r="G25" s="72"/>
      <c r="H25" s="72"/>
      <c r="I25" s="72"/>
      <c r="J25" s="72"/>
      <c r="K25" s="72"/>
      <c r="L25" s="39"/>
      <c r="M25" s="356"/>
      <c r="N25" s="340"/>
      <c r="O25" s="348"/>
      <c r="P25" s="348"/>
      <c r="Q25" s="340"/>
      <c r="R25" s="39"/>
      <c r="S25" s="39"/>
      <c r="T25" s="72"/>
      <c r="U25" s="72"/>
      <c r="V25" s="72"/>
      <c r="W25" s="72"/>
      <c r="X25" s="72"/>
      <c r="Y25" s="72"/>
      <c r="Z25" s="72"/>
      <c r="AA25" s="72"/>
      <c r="AB25" s="64"/>
      <c r="AC25" s="72"/>
      <c r="AD25" s="261"/>
      <c r="AE25" s="331"/>
      <c r="AF25" s="331"/>
      <c r="AG25" s="331"/>
    </row>
    <row r="26" spans="1:33" s="22" customFormat="1" ht="18" customHeight="1">
      <c r="A26" s="362"/>
      <c r="B26" s="362"/>
      <c r="C26" s="363"/>
      <c r="D26" s="362"/>
      <c r="E26" s="362"/>
      <c r="F26" s="362"/>
      <c r="G26" s="832" t="s">
        <v>551</v>
      </c>
      <c r="H26" s="832" t="s">
        <v>111</v>
      </c>
      <c r="I26" s="838">
        <f>$R$24</f>
        <v>334</v>
      </c>
      <c r="J26" s="839"/>
      <c r="K26" s="832" t="s">
        <v>418</v>
      </c>
      <c r="L26" s="837">
        <f>$M$8</f>
        <v>2433</v>
      </c>
      <c r="M26" s="837"/>
      <c r="N26" s="832" t="s">
        <v>111</v>
      </c>
      <c r="O26" s="838">
        <f>$I$26*$L$26/$L$27</f>
        <v>309</v>
      </c>
      <c r="P26" s="838"/>
      <c r="Q26" s="846" t="s">
        <v>420</v>
      </c>
      <c r="R26" s="846"/>
      <c r="S26" s="362"/>
      <c r="T26" s="362"/>
      <c r="U26" s="362"/>
      <c r="V26" s="362"/>
      <c r="W26" s="362"/>
      <c r="X26" s="362"/>
      <c r="Y26" s="65"/>
      <c r="Z26" s="362"/>
      <c r="AA26" s="367"/>
      <c r="AB26" s="261"/>
      <c r="AC26" s="261"/>
      <c r="AD26" s="261"/>
      <c r="AE26" s="331"/>
      <c r="AF26" s="331"/>
      <c r="AG26" s="331"/>
    </row>
    <row r="27" spans="1:33" s="22" customFormat="1" ht="18" customHeight="1">
      <c r="A27" s="362"/>
      <c r="B27" s="362"/>
      <c r="C27" s="363"/>
      <c r="D27" s="362"/>
      <c r="E27" s="362"/>
      <c r="F27" s="362"/>
      <c r="G27" s="832"/>
      <c r="H27" s="832"/>
      <c r="I27" s="840"/>
      <c r="J27" s="840"/>
      <c r="K27" s="832"/>
      <c r="L27" s="836">
        <f>$J$9</f>
        <v>2630</v>
      </c>
      <c r="M27" s="836"/>
      <c r="N27" s="832"/>
      <c r="O27" s="840"/>
      <c r="P27" s="840"/>
      <c r="Q27" s="846"/>
      <c r="R27" s="846"/>
      <c r="S27" s="362"/>
      <c r="T27" s="362"/>
      <c r="U27" s="362"/>
      <c r="V27" s="362"/>
      <c r="W27" s="362"/>
      <c r="X27" s="362"/>
      <c r="Y27" s="65"/>
      <c r="Z27" s="362"/>
      <c r="AA27" s="367"/>
      <c r="AB27" s="261"/>
      <c r="AC27" s="261"/>
      <c r="AD27" s="261"/>
      <c r="AE27" s="331"/>
      <c r="AF27" s="331"/>
      <c r="AG27" s="331"/>
    </row>
    <row r="28" spans="1:33" s="22" customFormat="1" ht="18" customHeight="1">
      <c r="A28" s="362"/>
      <c r="B28" s="362"/>
      <c r="C28" s="363"/>
      <c r="D28" s="362"/>
      <c r="E28" s="362"/>
      <c r="F28" s="362"/>
      <c r="G28" s="362"/>
      <c r="H28" s="362"/>
      <c r="I28" s="362"/>
      <c r="J28" s="362"/>
      <c r="K28" s="362"/>
      <c r="L28" s="362"/>
      <c r="M28" s="65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64"/>
      <c r="AC28" s="72"/>
      <c r="AD28" s="261"/>
      <c r="AE28" s="331"/>
      <c r="AF28" s="331"/>
      <c r="AG28" s="331"/>
    </row>
    <row r="29" spans="1:33" s="22" customFormat="1" ht="18" customHeight="1">
      <c r="A29" s="362"/>
      <c r="B29" s="362"/>
      <c r="C29" s="362"/>
      <c r="D29" s="831" t="s">
        <v>518</v>
      </c>
      <c r="E29" s="831" t="s">
        <v>111</v>
      </c>
      <c r="F29" s="844" t="s">
        <v>433</v>
      </c>
      <c r="G29" s="844"/>
      <c r="H29" s="832" t="s">
        <v>422</v>
      </c>
      <c r="I29" s="834">
        <f>$O$26</f>
        <v>309</v>
      </c>
      <c r="J29" s="834"/>
      <c r="K29" s="371" t="s">
        <v>418</v>
      </c>
      <c r="L29" s="835">
        <f>$J$9/1000</f>
        <v>2.63</v>
      </c>
      <c r="M29" s="835"/>
      <c r="N29" s="372" t="s">
        <v>423</v>
      </c>
      <c r="O29" s="832" t="s">
        <v>422</v>
      </c>
      <c r="P29" s="838">
        <f>$I$29*$L$29^2/$K$30</f>
        <v>1069</v>
      </c>
      <c r="Q29" s="838"/>
      <c r="R29" s="850" t="s">
        <v>424</v>
      </c>
      <c r="S29" s="850"/>
      <c r="T29" s="362"/>
      <c r="U29" s="362"/>
      <c r="V29" s="362"/>
      <c r="W29" s="362"/>
      <c r="X29" s="362"/>
      <c r="Y29" s="362"/>
      <c r="Z29" s="362"/>
      <c r="AA29" s="362"/>
      <c r="AB29" s="64"/>
      <c r="AC29" s="72"/>
      <c r="AD29" s="261"/>
      <c r="AE29" s="331"/>
      <c r="AF29" s="331"/>
      <c r="AG29" s="331"/>
    </row>
    <row r="30" spans="1:33" s="22" customFormat="1" ht="18" customHeight="1">
      <c r="A30" s="362"/>
      <c r="B30" s="362"/>
      <c r="C30" s="362"/>
      <c r="D30" s="831"/>
      <c r="E30" s="831"/>
      <c r="F30" s="831">
        <v>2</v>
      </c>
      <c r="G30" s="831"/>
      <c r="H30" s="832"/>
      <c r="I30" s="362"/>
      <c r="J30" s="362"/>
      <c r="K30" s="364">
        <v>2</v>
      </c>
      <c r="L30" s="362"/>
      <c r="M30" s="65"/>
      <c r="N30" s="373"/>
      <c r="O30" s="832"/>
      <c r="P30" s="838"/>
      <c r="Q30" s="838"/>
      <c r="R30" s="850"/>
      <c r="S30" s="850"/>
      <c r="T30" s="362"/>
      <c r="U30" s="362"/>
      <c r="V30" s="362"/>
      <c r="W30" s="362"/>
      <c r="X30" s="362"/>
      <c r="Y30" s="362"/>
      <c r="Z30" s="362"/>
      <c r="AA30" s="362"/>
      <c r="AB30" s="64"/>
      <c r="AC30" s="72"/>
      <c r="AD30" s="261"/>
      <c r="AE30" s="331"/>
      <c r="AF30" s="331"/>
      <c r="AG30" s="331"/>
    </row>
    <row r="31" spans="1:33" s="22" customFormat="1" ht="18" customHeight="1">
      <c r="A31" s="362"/>
      <c r="B31" s="362"/>
      <c r="C31" s="362"/>
      <c r="D31" s="369"/>
      <c r="E31" s="369"/>
      <c r="F31" s="369"/>
      <c r="G31" s="369"/>
      <c r="H31" s="364"/>
      <c r="I31" s="362"/>
      <c r="J31" s="362"/>
      <c r="K31" s="364"/>
      <c r="L31" s="362"/>
      <c r="M31" s="65"/>
      <c r="N31" s="362"/>
      <c r="O31" s="364"/>
      <c r="P31" s="374"/>
      <c r="Q31" s="374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64"/>
      <c r="AC31" s="72"/>
      <c r="AD31" s="261"/>
      <c r="AE31" s="331"/>
      <c r="AF31" s="331"/>
      <c r="AG31" s="331"/>
    </row>
    <row r="32" spans="1:33" s="22" customFormat="1" ht="18" customHeight="1">
      <c r="A32" s="362"/>
      <c r="B32" s="362"/>
      <c r="C32" s="362"/>
      <c r="D32" s="831" t="s">
        <v>519</v>
      </c>
      <c r="E32" s="831" t="s">
        <v>111</v>
      </c>
      <c r="F32" s="844" t="s">
        <v>13</v>
      </c>
      <c r="G32" s="844"/>
      <c r="H32" s="831" t="s">
        <v>0</v>
      </c>
      <c r="I32" s="837">
        <f>ROUND($P$29,0)*1000</f>
        <v>1069000</v>
      </c>
      <c r="J32" s="837"/>
      <c r="K32" s="837"/>
      <c r="L32" s="516"/>
      <c r="M32" s="831" t="s">
        <v>111</v>
      </c>
      <c r="N32" s="852">
        <f>$I$32/$I$33</f>
        <v>53</v>
      </c>
      <c r="O32" s="852"/>
      <c r="P32" s="851" t="s">
        <v>434</v>
      </c>
      <c r="Q32" s="851"/>
      <c r="R32" s="831" t="str">
        <f>IF($N$32&lt;=$F$35,"＜","＞")</f>
        <v>＜</v>
      </c>
      <c r="S32" s="848" t="s">
        <v>213</v>
      </c>
      <c r="T32" s="848"/>
      <c r="U32" s="849"/>
      <c r="V32" s="850">
        <v>1.3</v>
      </c>
      <c r="W32" s="850"/>
      <c r="X32" s="832" t="s">
        <v>418</v>
      </c>
      <c r="Y32" s="847">
        <f>'使用材一覧'!$P$17</f>
        <v>165</v>
      </c>
      <c r="Z32" s="847"/>
      <c r="AA32" s="369"/>
      <c r="AB32" s="64"/>
      <c r="AC32" s="72"/>
      <c r="AD32" s="261"/>
      <c r="AE32" s="331"/>
      <c r="AF32" s="331"/>
      <c r="AG32" s="331"/>
    </row>
    <row r="33" spans="1:33" s="22" customFormat="1" ht="18" customHeight="1">
      <c r="A33" s="362"/>
      <c r="B33" s="362"/>
      <c r="C33" s="362"/>
      <c r="D33" s="831"/>
      <c r="E33" s="831"/>
      <c r="F33" s="831" t="s">
        <v>14</v>
      </c>
      <c r="G33" s="831"/>
      <c r="H33" s="831"/>
      <c r="I33" s="845">
        <f>'使用材一覧'!$P$15</f>
        <v>20100</v>
      </c>
      <c r="J33" s="845"/>
      <c r="K33" s="845"/>
      <c r="L33" s="813"/>
      <c r="M33" s="831"/>
      <c r="N33" s="852"/>
      <c r="O33" s="852"/>
      <c r="P33" s="851"/>
      <c r="Q33" s="851"/>
      <c r="R33" s="831"/>
      <c r="S33" s="848"/>
      <c r="T33" s="848"/>
      <c r="U33" s="849"/>
      <c r="V33" s="850"/>
      <c r="W33" s="850"/>
      <c r="X33" s="832"/>
      <c r="Y33" s="847"/>
      <c r="Z33" s="847"/>
      <c r="AA33" s="369"/>
      <c r="AB33" s="64"/>
      <c r="AC33" s="72"/>
      <c r="AD33" s="261"/>
      <c r="AE33" s="331"/>
      <c r="AF33" s="331"/>
      <c r="AG33" s="331"/>
    </row>
    <row r="34" spans="1:33" s="22" customFormat="1" ht="18" customHeight="1">
      <c r="A34" s="362"/>
      <c r="B34" s="362"/>
      <c r="C34" s="362"/>
      <c r="D34" s="369"/>
      <c r="E34" s="369"/>
      <c r="F34" s="369"/>
      <c r="G34" s="369"/>
      <c r="H34" s="364"/>
      <c r="I34" s="362"/>
      <c r="J34" s="362"/>
      <c r="K34" s="364"/>
      <c r="L34" s="362"/>
      <c r="M34" s="65"/>
      <c r="N34" s="362"/>
      <c r="O34" s="364"/>
      <c r="P34" s="374"/>
      <c r="Q34" s="374"/>
      <c r="R34" s="362"/>
      <c r="S34" s="362"/>
      <c r="T34" s="362"/>
      <c r="U34" s="362"/>
      <c r="V34" s="362"/>
      <c r="W34" s="362"/>
      <c r="X34" s="378"/>
      <c r="Y34" s="378"/>
      <c r="Z34" s="378"/>
      <c r="AA34" s="378"/>
      <c r="AB34" s="64"/>
      <c r="AC34" s="72"/>
      <c r="AD34" s="261"/>
      <c r="AE34" s="331"/>
      <c r="AF34" s="331"/>
      <c r="AG34" s="331"/>
    </row>
    <row r="35" spans="1:33" s="22" customFormat="1" ht="18" customHeight="1">
      <c r="A35" s="362"/>
      <c r="B35" s="362"/>
      <c r="C35" s="363"/>
      <c r="D35" s="362"/>
      <c r="E35" s="368" t="s">
        <v>422</v>
      </c>
      <c r="F35" s="841">
        <f>ROUNDDOWN($V$32*$Y$32,0)</f>
        <v>214</v>
      </c>
      <c r="G35" s="841"/>
      <c r="H35" s="362" t="s">
        <v>428</v>
      </c>
      <c r="I35" s="362"/>
      <c r="J35" s="362"/>
      <c r="K35" s="842">
        <f>IF($N$32&lt;=$F$35,"","NG")</f>
      </c>
      <c r="L35" s="843"/>
      <c r="M35" s="843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78"/>
      <c r="Y35" s="378"/>
      <c r="Z35" s="378"/>
      <c r="AA35" s="378"/>
      <c r="AB35" s="64"/>
      <c r="AC35" s="72"/>
      <c r="AD35" s="261"/>
      <c r="AE35" s="331"/>
      <c r="AF35" s="331"/>
      <c r="AG35" s="331"/>
    </row>
    <row r="36" spans="1:33" s="22" customFormat="1" ht="18" customHeight="1">
      <c r="A36" s="362"/>
      <c r="B36" s="362"/>
      <c r="C36" s="368"/>
      <c r="D36" s="368"/>
      <c r="E36" s="368"/>
      <c r="F36" s="368"/>
      <c r="G36" s="379"/>
      <c r="H36" s="374"/>
      <c r="I36" s="364"/>
      <c r="J36" s="380"/>
      <c r="K36" s="380"/>
      <c r="L36" s="380"/>
      <c r="M36" s="366"/>
      <c r="N36" s="366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261"/>
      <c r="AC36" s="261"/>
      <c r="AD36" s="261"/>
      <c r="AE36" s="331"/>
      <c r="AF36" s="331"/>
      <c r="AG36" s="331"/>
    </row>
    <row r="37" spans="1:33" ht="18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80"/>
      <c r="AE37" s="17"/>
      <c r="AF37" s="17"/>
      <c r="AG37" s="17"/>
    </row>
    <row r="38" spans="1:33" ht="18" customHeight="1">
      <c r="A38" s="36"/>
      <c r="B38" s="36"/>
      <c r="C38" s="36" t="s">
        <v>190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80"/>
      <c r="AE38" s="17"/>
      <c r="AF38" s="17"/>
      <c r="AG38" s="17"/>
    </row>
    <row r="39" spans="1:33" ht="18" customHeight="1">
      <c r="A39" s="36"/>
      <c r="B39" s="36"/>
      <c r="C39" s="36"/>
      <c r="D39" s="36" t="s">
        <v>435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80"/>
      <c r="AE39" s="17"/>
      <c r="AF39" s="17"/>
      <c r="AG39" s="17"/>
    </row>
    <row r="40" spans="1:33" ht="18" customHeight="1">
      <c r="A40" s="36"/>
      <c r="B40" s="36"/>
      <c r="C40" s="36"/>
      <c r="D40" s="36" t="s">
        <v>189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80"/>
      <c r="AE40" s="17"/>
      <c r="AF40" s="17"/>
      <c r="AG40" s="17"/>
    </row>
    <row r="41" spans="1:33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80"/>
      <c r="AE41" s="17"/>
      <c r="AF41" s="17"/>
      <c r="AG41" s="17"/>
    </row>
    <row r="42" spans="1:33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80"/>
      <c r="AE42" s="17"/>
      <c r="AF42" s="17"/>
      <c r="AG42" s="17"/>
    </row>
    <row r="43" spans="1:33" ht="18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80"/>
      <c r="AE43" s="17"/>
      <c r="AF43" s="17"/>
      <c r="AG43" s="17"/>
    </row>
    <row r="44" spans="1:33" ht="18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80"/>
      <c r="AE44" s="17"/>
      <c r="AF44" s="17"/>
      <c r="AG44" s="17"/>
    </row>
    <row r="45" spans="1:33" ht="18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80"/>
      <c r="AE45" s="17"/>
      <c r="AF45" s="17"/>
      <c r="AG45" s="17"/>
    </row>
    <row r="46" spans="1:33" ht="18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80"/>
      <c r="AE46" s="17"/>
      <c r="AF46" s="17"/>
      <c r="AG46" s="17"/>
    </row>
    <row r="47" spans="1:33" ht="18" customHeight="1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80"/>
      <c r="AE47" s="17"/>
      <c r="AF47" s="17"/>
      <c r="AG47" s="17"/>
    </row>
    <row r="48" spans="1:33" ht="18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80"/>
      <c r="AE48" s="17"/>
      <c r="AF48" s="17"/>
      <c r="AG48" s="17"/>
    </row>
    <row r="49" spans="1:33" ht="18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80"/>
      <c r="AE49" s="17"/>
      <c r="AF49" s="17"/>
      <c r="AG49" s="17"/>
    </row>
    <row r="50" spans="1:33" ht="13.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80"/>
      <c r="AE50" s="17"/>
      <c r="AF50" s="17"/>
      <c r="AG50" s="17"/>
    </row>
    <row r="51" spans="1:33" ht="13.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17"/>
      <c r="AF51" s="17"/>
      <c r="AG51" s="17"/>
    </row>
    <row r="52" spans="1:30" ht="13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ht="13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</sheetData>
  <sheetProtection sheet="1" objects="1" scenarios="1"/>
  <mergeCells count="49">
    <mergeCell ref="M32:M33"/>
    <mergeCell ref="N32:O33"/>
    <mergeCell ref="O26:P27"/>
    <mergeCell ref="N26:N27"/>
    <mergeCell ref="Q26:R27"/>
    <mergeCell ref="Y32:Z33"/>
    <mergeCell ref="S32:U33"/>
    <mergeCell ref="V32:W33"/>
    <mergeCell ref="X32:X33"/>
    <mergeCell ref="P32:Q33"/>
    <mergeCell ref="R32:R33"/>
    <mergeCell ref="P29:Q30"/>
    <mergeCell ref="R29:S30"/>
    <mergeCell ref="W20:X20"/>
    <mergeCell ref="L24:M24"/>
    <mergeCell ref="O24:P24"/>
    <mergeCell ref="R24:S24"/>
    <mergeCell ref="U20:V20"/>
    <mergeCell ref="F35:G35"/>
    <mergeCell ref="K35:M35"/>
    <mergeCell ref="O29:O30"/>
    <mergeCell ref="F29:G29"/>
    <mergeCell ref="F30:G30"/>
    <mergeCell ref="F32:G32"/>
    <mergeCell ref="H32:H33"/>
    <mergeCell ref="F33:G33"/>
    <mergeCell ref="I32:L32"/>
    <mergeCell ref="I33:L33"/>
    <mergeCell ref="I29:J29"/>
    <mergeCell ref="L29:M29"/>
    <mergeCell ref="F17:G17"/>
    <mergeCell ref="L27:M27"/>
    <mergeCell ref="L26:M26"/>
    <mergeCell ref="I26:J27"/>
    <mergeCell ref="K26:K27"/>
    <mergeCell ref="P16:Q16"/>
    <mergeCell ref="P13:Q13"/>
    <mergeCell ref="M5:N5"/>
    <mergeCell ref="J9:K9"/>
    <mergeCell ref="Q8:S8"/>
    <mergeCell ref="M8:M10"/>
    <mergeCell ref="M11:M12"/>
    <mergeCell ref="D32:D33"/>
    <mergeCell ref="E32:E33"/>
    <mergeCell ref="G26:G27"/>
    <mergeCell ref="H26:H27"/>
    <mergeCell ref="D29:D30"/>
    <mergeCell ref="E29:E30"/>
    <mergeCell ref="H29:H30"/>
  </mergeCell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72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30" width="3.3984375" style="1" customWidth="1"/>
    <col min="31" max="31" width="3.09765625" style="1" customWidth="1"/>
    <col min="32" max="16384" width="4.69921875" style="1" customWidth="1"/>
  </cols>
  <sheetData>
    <row r="1" spans="2:34" ht="18" customHeight="1">
      <c r="B1" s="484" t="s">
        <v>193</v>
      </c>
      <c r="C1" s="80"/>
      <c r="D1" s="36"/>
      <c r="E1" s="36"/>
      <c r="F1" s="36"/>
      <c r="G1" s="36"/>
      <c r="H1" s="50"/>
      <c r="I1" s="50"/>
      <c r="J1" s="50"/>
      <c r="K1" s="50"/>
      <c r="L1" s="36"/>
      <c r="M1" s="41"/>
      <c r="N1" s="28"/>
      <c r="O1" s="28"/>
      <c r="P1" s="36"/>
      <c r="Q1" s="41"/>
      <c r="R1" s="4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17"/>
      <c r="AH1" s="17"/>
    </row>
    <row r="2" spans="1:34" ht="18" customHeight="1">
      <c r="A2" s="72"/>
      <c r="B2" s="80"/>
      <c r="C2" s="36"/>
      <c r="D2" s="36"/>
      <c r="E2" s="36"/>
      <c r="F2" s="36"/>
      <c r="G2" s="36"/>
      <c r="H2" s="50"/>
      <c r="I2" s="50"/>
      <c r="J2" s="50"/>
      <c r="K2" s="50"/>
      <c r="L2" s="36"/>
      <c r="M2" s="41"/>
      <c r="N2" s="28"/>
      <c r="O2" s="28"/>
      <c r="P2" s="36"/>
      <c r="Q2" s="41"/>
      <c r="R2" s="41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17"/>
      <c r="AH2" s="17"/>
    </row>
    <row r="3" spans="1:34" ht="18" customHeight="1">
      <c r="A3" s="80"/>
      <c r="B3" s="80"/>
      <c r="C3" s="36" t="s">
        <v>191</v>
      </c>
      <c r="D3" s="36"/>
      <c r="E3" s="36"/>
      <c r="F3" s="36"/>
      <c r="G3" s="36"/>
      <c r="H3" s="50"/>
      <c r="I3" s="36"/>
      <c r="J3" s="36"/>
      <c r="K3" s="102"/>
      <c r="L3" s="102"/>
      <c r="M3" s="75"/>
      <c r="N3" s="75"/>
      <c r="O3" s="112"/>
      <c r="P3" s="36"/>
      <c r="Q3" s="36"/>
      <c r="R3" s="36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17"/>
      <c r="AH3" s="17"/>
    </row>
    <row r="4" spans="1:34" ht="18" customHeight="1">
      <c r="A4" s="188"/>
      <c r="B4" s="290"/>
      <c r="C4" s="187"/>
      <c r="D4" s="187"/>
      <c r="E4" s="187"/>
      <c r="F4" s="187"/>
      <c r="G4" s="187"/>
      <c r="H4" s="187"/>
      <c r="I4" s="187"/>
      <c r="J4" s="187"/>
      <c r="K4" s="381"/>
      <c r="L4" s="381"/>
      <c r="M4" s="382"/>
      <c r="N4" s="382"/>
      <c r="O4" s="383"/>
      <c r="P4" s="187"/>
      <c r="Q4" s="187"/>
      <c r="R4" s="187"/>
      <c r="S4" s="188"/>
      <c r="T4" s="188"/>
      <c r="U4" s="188"/>
      <c r="V4" s="188"/>
      <c r="W4" s="188"/>
      <c r="X4" s="188"/>
      <c r="Y4" s="188"/>
      <c r="Z4" s="188"/>
      <c r="AA4" s="188"/>
      <c r="AB4" s="80"/>
      <c r="AC4" s="80"/>
      <c r="AD4" s="80"/>
      <c r="AE4" s="80"/>
      <c r="AF4" s="80"/>
      <c r="AG4" s="17"/>
      <c r="AH4" s="17"/>
    </row>
    <row r="5" spans="1:34" s="22" customFormat="1" ht="18" customHeight="1">
      <c r="A5" s="264"/>
      <c r="B5" s="264"/>
      <c r="C5" s="384"/>
      <c r="D5" s="264"/>
      <c r="E5" s="264"/>
      <c r="F5" s="264"/>
      <c r="G5" s="264"/>
      <c r="H5" s="264"/>
      <c r="I5" s="264"/>
      <c r="J5" s="264"/>
      <c r="K5" s="264"/>
      <c r="L5" s="385"/>
      <c r="M5" s="385"/>
      <c r="N5" s="385"/>
      <c r="O5" s="386"/>
      <c r="P5" s="264"/>
      <c r="Q5" s="264"/>
      <c r="R5" s="68"/>
      <c r="S5" s="68"/>
      <c r="T5" s="264"/>
      <c r="U5" s="264"/>
      <c r="V5" s="264"/>
      <c r="W5" s="264"/>
      <c r="X5" s="264"/>
      <c r="Y5" s="264"/>
      <c r="Z5" s="264"/>
      <c r="AA5" s="264"/>
      <c r="AB5" s="72"/>
      <c r="AC5" s="72"/>
      <c r="AD5" s="261"/>
      <c r="AE5" s="261"/>
      <c r="AF5" s="261"/>
      <c r="AG5" s="331"/>
      <c r="AH5" s="331"/>
    </row>
    <row r="6" spans="1:34" s="22" customFormat="1" ht="18" customHeight="1">
      <c r="A6" s="264"/>
      <c r="B6" s="264"/>
      <c r="C6" s="264"/>
      <c r="D6" s="384"/>
      <c r="E6" s="264"/>
      <c r="F6" s="264"/>
      <c r="G6" s="264"/>
      <c r="H6" s="264"/>
      <c r="I6" s="264"/>
      <c r="J6" s="264"/>
      <c r="K6" s="387" t="s">
        <v>192</v>
      </c>
      <c r="L6" s="388"/>
      <c r="M6" s="385"/>
      <c r="N6" s="385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72"/>
      <c r="AC6" s="261"/>
      <c r="AD6" s="261"/>
      <c r="AE6" s="261"/>
      <c r="AF6" s="261"/>
      <c r="AG6" s="331"/>
      <c r="AH6" s="331"/>
    </row>
    <row r="7" spans="1:34" s="22" customFormat="1" ht="18" customHeight="1">
      <c r="A7" s="264"/>
      <c r="B7" s="264"/>
      <c r="C7" s="264"/>
      <c r="D7" s="264"/>
      <c r="E7" s="264"/>
      <c r="F7" s="389"/>
      <c r="G7" s="264"/>
      <c r="H7" s="264"/>
      <c r="I7" s="264"/>
      <c r="J7" s="264"/>
      <c r="K7" s="264"/>
      <c r="L7" s="264" t="s">
        <v>214</v>
      </c>
      <c r="M7" s="853">
        <f>'朝顔チェーン'!$U$28</f>
        <v>1000</v>
      </c>
      <c r="N7" s="853"/>
      <c r="O7" s="264"/>
      <c r="P7" s="264"/>
      <c r="Q7" s="264"/>
      <c r="R7" s="264"/>
      <c r="S7" s="264"/>
      <c r="T7" s="264"/>
      <c r="U7" s="264"/>
      <c r="V7" s="264"/>
      <c r="W7" s="264"/>
      <c r="X7" s="384"/>
      <c r="Y7" s="264"/>
      <c r="Z7" s="264"/>
      <c r="AA7" s="264"/>
      <c r="AB7" s="261"/>
      <c r="AC7" s="261"/>
      <c r="AD7" s="261"/>
      <c r="AE7" s="261"/>
      <c r="AF7" s="261"/>
      <c r="AG7" s="331"/>
      <c r="AH7" s="331"/>
    </row>
    <row r="8" spans="1:34" s="22" customFormat="1" ht="18" customHeight="1">
      <c r="A8" s="264"/>
      <c r="B8" s="264"/>
      <c r="C8" s="854">
        <v>1650</v>
      </c>
      <c r="D8" s="264"/>
      <c r="E8" s="264"/>
      <c r="F8" s="264"/>
      <c r="G8" s="264"/>
      <c r="H8" s="264"/>
      <c r="I8" s="860">
        <f>SQRT($C$8^2+$F$16^2)</f>
        <v>1784</v>
      </c>
      <c r="J8" s="860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384"/>
      <c r="Y8" s="264"/>
      <c r="Z8" s="68"/>
      <c r="AA8" s="68"/>
      <c r="AB8" s="261"/>
      <c r="AC8" s="261"/>
      <c r="AD8" s="261"/>
      <c r="AE8" s="261"/>
      <c r="AF8" s="261"/>
      <c r="AG8" s="331"/>
      <c r="AH8" s="331"/>
    </row>
    <row r="9" spans="1:34" s="22" customFormat="1" ht="18" customHeight="1">
      <c r="A9" s="264"/>
      <c r="B9" s="264"/>
      <c r="C9" s="854"/>
      <c r="D9" s="390"/>
      <c r="E9" s="264"/>
      <c r="F9" s="264"/>
      <c r="G9" s="264"/>
      <c r="H9" s="391" t="s">
        <v>215</v>
      </c>
      <c r="I9" s="264"/>
      <c r="J9" s="388"/>
      <c r="K9" s="388"/>
      <c r="L9" s="264"/>
      <c r="M9" s="390"/>
      <c r="N9" s="264"/>
      <c r="O9" s="388"/>
      <c r="P9" s="264"/>
      <c r="Q9" s="861" t="s">
        <v>172</v>
      </c>
      <c r="R9" s="862"/>
      <c r="S9" s="862"/>
      <c r="T9" s="264"/>
      <c r="U9" s="264"/>
      <c r="V9" s="264"/>
      <c r="W9" s="264"/>
      <c r="X9" s="384"/>
      <c r="Y9" s="264"/>
      <c r="Z9" s="68"/>
      <c r="AA9" s="68"/>
      <c r="AB9" s="261"/>
      <c r="AC9" s="261"/>
      <c r="AD9" s="261"/>
      <c r="AE9" s="261"/>
      <c r="AF9" s="261"/>
      <c r="AG9" s="331"/>
      <c r="AH9" s="331"/>
    </row>
    <row r="10" spans="1:34" s="22" customFormat="1" ht="18" customHeight="1">
      <c r="A10" s="264"/>
      <c r="B10" s="264"/>
      <c r="C10" s="854"/>
      <c r="D10" s="390"/>
      <c r="E10" s="264"/>
      <c r="F10" s="264"/>
      <c r="G10" s="264"/>
      <c r="H10" s="264"/>
      <c r="I10" s="264"/>
      <c r="J10" s="392"/>
      <c r="K10" s="392"/>
      <c r="L10" s="264"/>
      <c r="M10" s="390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384"/>
      <c r="Y10" s="264"/>
      <c r="Z10" s="391"/>
      <c r="AA10" s="264"/>
      <c r="AB10" s="261"/>
      <c r="AC10" s="261"/>
      <c r="AD10" s="261"/>
      <c r="AE10" s="261"/>
      <c r="AF10" s="261"/>
      <c r="AG10" s="331"/>
      <c r="AH10" s="331"/>
    </row>
    <row r="11" spans="1:34" s="22" customFormat="1" ht="18" customHeight="1">
      <c r="A11" s="388"/>
      <c r="B11" s="264"/>
      <c r="C11" s="855" t="s">
        <v>212</v>
      </c>
      <c r="D11" s="389"/>
      <c r="E11" s="264"/>
      <c r="F11" s="264"/>
      <c r="G11" s="264"/>
      <c r="H11" s="264"/>
      <c r="I11" s="264"/>
      <c r="J11" s="264"/>
      <c r="K11" s="264"/>
      <c r="L11" s="264"/>
      <c r="M11" s="390"/>
      <c r="N11" s="264"/>
      <c r="O11" s="264"/>
      <c r="P11" s="264"/>
      <c r="Q11" s="264"/>
      <c r="R11" s="264"/>
      <c r="S11" s="264"/>
      <c r="T11" s="264"/>
      <c r="U11" s="264"/>
      <c r="V11" s="264"/>
      <c r="W11" s="384"/>
      <c r="X11" s="264"/>
      <c r="Y11" s="264"/>
      <c r="Z11" s="264"/>
      <c r="AA11" s="264"/>
      <c r="AB11" s="261"/>
      <c r="AC11" s="261"/>
      <c r="AD11" s="261"/>
      <c r="AE11" s="261"/>
      <c r="AF11" s="261"/>
      <c r="AG11" s="331"/>
      <c r="AH11" s="331"/>
    </row>
    <row r="12" spans="1:34" s="22" customFormat="1" ht="18" customHeight="1">
      <c r="A12" s="264"/>
      <c r="B12" s="264"/>
      <c r="C12" s="856"/>
      <c r="D12" s="394"/>
      <c r="E12" s="385"/>
      <c r="F12" s="264"/>
      <c r="G12" s="264"/>
      <c r="H12" s="264"/>
      <c r="I12" s="264"/>
      <c r="J12" s="264"/>
      <c r="K12" s="264"/>
      <c r="L12" s="264"/>
      <c r="M12" s="393"/>
      <c r="N12" s="264"/>
      <c r="O12" s="264"/>
      <c r="P12" s="264"/>
      <c r="Q12" s="68"/>
      <c r="R12" s="264"/>
      <c r="S12" s="264"/>
      <c r="T12" s="264"/>
      <c r="U12" s="264"/>
      <c r="V12" s="264"/>
      <c r="W12" s="264"/>
      <c r="X12" s="384"/>
      <c r="Y12" s="264"/>
      <c r="Z12" s="264"/>
      <c r="AA12" s="264"/>
      <c r="AB12" s="261"/>
      <c r="AC12" s="261"/>
      <c r="AD12" s="261"/>
      <c r="AE12" s="261"/>
      <c r="AF12" s="261"/>
      <c r="AG12" s="331"/>
      <c r="AH12" s="331"/>
    </row>
    <row r="13" spans="1:34" s="22" customFormat="1" ht="18" customHeight="1">
      <c r="A13" s="264"/>
      <c r="B13" s="264"/>
      <c r="C13" s="264"/>
      <c r="D13" s="395"/>
      <c r="E13" s="264"/>
      <c r="F13" s="264"/>
      <c r="G13" s="264"/>
      <c r="H13" s="264"/>
      <c r="I13" s="264"/>
      <c r="J13" s="264"/>
      <c r="K13" s="264"/>
      <c r="L13" s="264"/>
      <c r="M13" s="393"/>
      <c r="N13" s="264"/>
      <c r="O13" s="385"/>
      <c r="P13" s="385"/>
      <c r="Q13" s="385"/>
      <c r="R13" s="386"/>
      <c r="S13" s="290"/>
      <c r="T13" s="264"/>
      <c r="U13" s="264"/>
      <c r="V13" s="264"/>
      <c r="W13" s="264"/>
      <c r="X13" s="384"/>
      <c r="Y13" s="264"/>
      <c r="Z13" s="264"/>
      <c r="AA13" s="264"/>
      <c r="AB13" s="261"/>
      <c r="AC13" s="261"/>
      <c r="AD13" s="261"/>
      <c r="AE13" s="261"/>
      <c r="AF13" s="261"/>
      <c r="AG13" s="331"/>
      <c r="AH13" s="331"/>
    </row>
    <row r="14" spans="1:34" s="22" customFormat="1" ht="18" customHeight="1">
      <c r="A14" s="264"/>
      <c r="B14" s="264"/>
      <c r="C14" s="264"/>
      <c r="D14" s="283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385"/>
      <c r="Q14" s="385"/>
      <c r="R14" s="264"/>
      <c r="S14" s="264"/>
      <c r="T14" s="264"/>
      <c r="U14" s="264"/>
      <c r="V14" s="264"/>
      <c r="W14" s="264"/>
      <c r="X14" s="384"/>
      <c r="Y14" s="264"/>
      <c r="Z14" s="264"/>
      <c r="AA14" s="264"/>
      <c r="AB14" s="261"/>
      <c r="AC14" s="261"/>
      <c r="AD14" s="261"/>
      <c r="AE14" s="261"/>
      <c r="AF14" s="261"/>
      <c r="AG14" s="331"/>
      <c r="AH14" s="331"/>
    </row>
    <row r="15" spans="1:34" s="22" customFormat="1" ht="18" customHeight="1">
      <c r="A15" s="264"/>
      <c r="B15" s="264"/>
      <c r="C15" s="857">
        <v>2000</v>
      </c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68"/>
      <c r="R15" s="264"/>
      <c r="S15" s="264"/>
      <c r="T15" s="264"/>
      <c r="U15" s="264"/>
      <c r="V15" s="264"/>
      <c r="W15" s="264"/>
      <c r="X15" s="384"/>
      <c r="Y15" s="264"/>
      <c r="Z15" s="264"/>
      <c r="AA15" s="264"/>
      <c r="AB15" s="261"/>
      <c r="AC15" s="261"/>
      <c r="AD15" s="261"/>
      <c r="AE15" s="261"/>
      <c r="AF15" s="261"/>
      <c r="AG15" s="331"/>
      <c r="AH15" s="331"/>
    </row>
    <row r="16" spans="1:34" s="22" customFormat="1" ht="18" customHeight="1">
      <c r="A16" s="264"/>
      <c r="B16" s="264"/>
      <c r="C16" s="858"/>
      <c r="D16" s="396"/>
      <c r="E16" s="385"/>
      <c r="F16" s="859">
        <f>'朝顔'!$J$2*$C$8/'朝顔'!$C$12</f>
        <v>678</v>
      </c>
      <c r="G16" s="859"/>
      <c r="H16" s="264"/>
      <c r="I16" s="264"/>
      <c r="J16" s="264"/>
      <c r="K16" s="264"/>
      <c r="L16" s="264"/>
      <c r="M16" s="264"/>
      <c r="N16" s="264"/>
      <c r="O16" s="385" t="s">
        <v>216</v>
      </c>
      <c r="P16" s="385"/>
      <c r="Q16" s="385"/>
      <c r="R16" s="264"/>
      <c r="S16" s="264"/>
      <c r="T16" s="264"/>
      <c r="U16" s="264"/>
      <c r="V16" s="264"/>
      <c r="W16" s="264"/>
      <c r="X16" s="384"/>
      <c r="Y16" s="264"/>
      <c r="Z16" s="264"/>
      <c r="AA16" s="264"/>
      <c r="AB16" s="261"/>
      <c r="AC16" s="261"/>
      <c r="AD16" s="261"/>
      <c r="AE16" s="261"/>
      <c r="AF16" s="261"/>
      <c r="AG16" s="331"/>
      <c r="AH16" s="331"/>
    </row>
    <row r="17" spans="1:34" s="22" customFormat="1" ht="18" customHeight="1">
      <c r="A17" s="264"/>
      <c r="B17" s="264"/>
      <c r="C17" s="396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 t="s">
        <v>217</v>
      </c>
      <c r="P17" s="853">
        <f>'朝顔'!$P$6</f>
        <v>1800</v>
      </c>
      <c r="Q17" s="853"/>
      <c r="R17" s="264"/>
      <c r="S17" s="264"/>
      <c r="T17" s="264"/>
      <c r="U17" s="264"/>
      <c r="V17" s="264"/>
      <c r="W17" s="264"/>
      <c r="X17" s="384"/>
      <c r="Y17" s="264"/>
      <c r="Z17" s="264"/>
      <c r="AA17" s="264"/>
      <c r="AB17" s="261"/>
      <c r="AC17" s="261"/>
      <c r="AD17" s="261"/>
      <c r="AE17" s="261"/>
      <c r="AF17" s="261"/>
      <c r="AG17" s="331"/>
      <c r="AH17" s="331"/>
    </row>
    <row r="18" spans="1:34" s="22" customFormat="1" ht="18" customHeight="1">
      <c r="A18" s="264"/>
      <c r="B18" s="264"/>
      <c r="C18" s="396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68"/>
      <c r="R18" s="264"/>
      <c r="S18" s="264"/>
      <c r="T18" s="264"/>
      <c r="U18" s="264"/>
      <c r="V18" s="264"/>
      <c r="W18" s="264"/>
      <c r="X18" s="384"/>
      <c r="Y18" s="264"/>
      <c r="Z18" s="264"/>
      <c r="AA18" s="264"/>
      <c r="AB18" s="261"/>
      <c r="AC18" s="261"/>
      <c r="AD18" s="261"/>
      <c r="AE18" s="261"/>
      <c r="AF18" s="261"/>
      <c r="AG18" s="331"/>
      <c r="AH18" s="331"/>
    </row>
    <row r="19" spans="1:34" s="22" customFormat="1" ht="18" customHeight="1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68"/>
      <c r="R19" s="264"/>
      <c r="S19" s="264"/>
      <c r="T19" s="264"/>
      <c r="U19" s="264"/>
      <c r="V19" s="264"/>
      <c r="W19" s="264"/>
      <c r="X19" s="384"/>
      <c r="Y19" s="264"/>
      <c r="Z19" s="264"/>
      <c r="AA19" s="264"/>
      <c r="AB19" s="261"/>
      <c r="AC19" s="261"/>
      <c r="AD19" s="261"/>
      <c r="AE19" s="261"/>
      <c r="AF19" s="261"/>
      <c r="AG19" s="331"/>
      <c r="AH19" s="331"/>
    </row>
    <row r="20" spans="1:34" s="22" customFormat="1" ht="18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68"/>
      <c r="R20" s="264"/>
      <c r="S20" s="264"/>
      <c r="T20" s="264"/>
      <c r="U20" s="264"/>
      <c r="V20" s="264"/>
      <c r="W20" s="264"/>
      <c r="X20" s="384"/>
      <c r="Y20" s="264"/>
      <c r="Z20" s="264"/>
      <c r="AA20" s="264"/>
      <c r="AB20" s="261"/>
      <c r="AC20" s="261"/>
      <c r="AD20" s="261"/>
      <c r="AE20" s="261"/>
      <c r="AF20" s="261"/>
      <c r="AG20" s="331"/>
      <c r="AH20" s="331"/>
    </row>
    <row r="21" spans="1:34" s="22" customFormat="1" ht="18" customHeight="1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68"/>
      <c r="R21" s="264"/>
      <c r="S21" s="264"/>
      <c r="T21" s="264"/>
      <c r="U21" s="861" t="s">
        <v>553</v>
      </c>
      <c r="V21" s="861"/>
      <c r="W21" s="860">
        <f>$M$7</f>
        <v>1000</v>
      </c>
      <c r="X21" s="860"/>
      <c r="Y21" s="384"/>
      <c r="Z21" s="264"/>
      <c r="AA21" s="264"/>
      <c r="AB21" s="261"/>
      <c r="AC21" s="261"/>
      <c r="AD21" s="261"/>
      <c r="AE21" s="261"/>
      <c r="AF21" s="261"/>
      <c r="AG21" s="331"/>
      <c r="AH21" s="331"/>
    </row>
    <row r="22" spans="1:34" s="22" customFormat="1" ht="18" customHeight="1">
      <c r="A22" s="264"/>
      <c r="B22" s="264"/>
      <c r="C22" s="38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397"/>
      <c r="Q22" s="68"/>
      <c r="R22" s="398"/>
      <c r="S22" s="398"/>
      <c r="T22" s="264"/>
      <c r="U22" s="264"/>
      <c r="V22" s="264"/>
      <c r="W22" s="264"/>
      <c r="X22" s="264"/>
      <c r="Y22" s="264"/>
      <c r="Z22" s="264"/>
      <c r="AA22" s="264"/>
      <c r="AB22" s="261"/>
      <c r="AC22" s="261"/>
      <c r="AD22" s="261"/>
      <c r="AE22" s="261"/>
      <c r="AF22" s="261"/>
      <c r="AG22" s="331"/>
      <c r="AH22" s="331"/>
    </row>
    <row r="23" spans="1:34" s="22" customFormat="1" ht="18" customHeight="1">
      <c r="A23" s="72"/>
      <c r="B23" s="72"/>
      <c r="C23" s="72" t="s">
        <v>174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50"/>
      <c r="O23" s="50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64"/>
      <c r="AC23" s="72"/>
      <c r="AD23" s="261"/>
      <c r="AE23" s="261"/>
      <c r="AF23" s="261"/>
      <c r="AG23" s="331"/>
      <c r="AH23" s="331"/>
    </row>
    <row r="24" spans="1:34" s="22" customFormat="1" ht="18" customHeight="1">
      <c r="A24" s="72"/>
      <c r="B24" s="72"/>
      <c r="C24" s="335"/>
      <c r="D24" s="72"/>
      <c r="E24" s="72"/>
      <c r="F24" s="72"/>
      <c r="G24" s="72"/>
      <c r="H24" s="72"/>
      <c r="I24" s="72"/>
      <c r="J24" s="72"/>
      <c r="K24" s="72"/>
      <c r="L24" s="79"/>
      <c r="M24" s="43"/>
      <c r="N24" s="112"/>
      <c r="O24" s="11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64"/>
      <c r="AC24" s="72"/>
      <c r="AD24" s="261"/>
      <c r="AE24" s="261"/>
      <c r="AF24" s="261"/>
      <c r="AG24" s="331"/>
      <c r="AH24" s="331"/>
    </row>
    <row r="25" spans="1:34" s="22" customFormat="1" ht="18" customHeight="1">
      <c r="A25" s="72"/>
      <c r="B25" s="72"/>
      <c r="C25" s="335"/>
      <c r="D25" s="72" t="s">
        <v>226</v>
      </c>
      <c r="E25" s="72"/>
      <c r="F25" s="72"/>
      <c r="G25" s="340" t="s">
        <v>516</v>
      </c>
      <c r="H25" s="72" t="s">
        <v>552</v>
      </c>
      <c r="I25" s="72"/>
      <c r="J25" s="72"/>
      <c r="K25" s="72"/>
      <c r="L25" s="544">
        <f>'朝顔'!$T$65</f>
        <v>334</v>
      </c>
      <c r="M25" s="829"/>
      <c r="N25" s="340" t="s">
        <v>418</v>
      </c>
      <c r="O25" s="814">
        <f>$W$21/1000</f>
        <v>1</v>
      </c>
      <c r="P25" s="814"/>
      <c r="Q25" s="340" t="s">
        <v>419</v>
      </c>
      <c r="R25" s="544">
        <f>$L$25*$O$25</f>
        <v>334</v>
      </c>
      <c r="S25" s="544"/>
      <c r="T25" s="72" t="s">
        <v>420</v>
      </c>
      <c r="U25" s="72"/>
      <c r="V25" s="72"/>
      <c r="W25" s="72"/>
      <c r="X25" s="72"/>
      <c r="Y25" s="72"/>
      <c r="Z25" s="72"/>
      <c r="AA25" s="72"/>
      <c r="AB25" s="64"/>
      <c r="AC25" s="72"/>
      <c r="AD25" s="261"/>
      <c r="AE25" s="261"/>
      <c r="AF25" s="261"/>
      <c r="AG25" s="331"/>
      <c r="AH25" s="331"/>
    </row>
    <row r="26" spans="1:34" s="22" customFormat="1" ht="18" customHeight="1">
      <c r="A26" s="72"/>
      <c r="B26" s="72"/>
      <c r="C26" s="335"/>
      <c r="D26" s="72"/>
      <c r="E26" s="72"/>
      <c r="F26" s="72"/>
      <c r="G26" s="72"/>
      <c r="H26" s="72"/>
      <c r="I26" s="72"/>
      <c r="J26" s="72"/>
      <c r="K26" s="72"/>
      <c r="L26" s="39"/>
      <c r="M26" s="356"/>
      <c r="N26" s="340"/>
      <c r="O26" s="348"/>
      <c r="P26" s="348"/>
      <c r="Q26" s="340"/>
      <c r="R26" s="39"/>
      <c r="S26" s="39"/>
      <c r="T26" s="72"/>
      <c r="U26" s="72"/>
      <c r="V26" s="72"/>
      <c r="W26" s="72"/>
      <c r="X26" s="72"/>
      <c r="Y26" s="72"/>
      <c r="Z26" s="72"/>
      <c r="AA26" s="72"/>
      <c r="AB26" s="64"/>
      <c r="AC26" s="72"/>
      <c r="AD26" s="261"/>
      <c r="AE26" s="261"/>
      <c r="AF26" s="261"/>
      <c r="AG26" s="331"/>
      <c r="AH26" s="331"/>
    </row>
    <row r="27" spans="1:34" s="22" customFormat="1" ht="18" customHeight="1">
      <c r="A27" s="362"/>
      <c r="B27" s="362"/>
      <c r="C27" s="363"/>
      <c r="D27" s="362"/>
      <c r="E27" s="362"/>
      <c r="F27" s="362"/>
      <c r="G27" s="832" t="s">
        <v>551</v>
      </c>
      <c r="H27" s="832" t="s">
        <v>111</v>
      </c>
      <c r="I27" s="838">
        <f>$R$25</f>
        <v>334</v>
      </c>
      <c r="J27" s="839"/>
      <c r="K27" s="832" t="s">
        <v>418</v>
      </c>
      <c r="L27" s="837">
        <f>$C$8</f>
        <v>1650</v>
      </c>
      <c r="M27" s="837"/>
      <c r="N27" s="832" t="s">
        <v>419</v>
      </c>
      <c r="O27" s="838">
        <f>$I$27*$L$27/$L$28</f>
        <v>309</v>
      </c>
      <c r="P27" s="838"/>
      <c r="Q27" s="846" t="s">
        <v>420</v>
      </c>
      <c r="R27" s="846"/>
      <c r="S27" s="362"/>
      <c r="T27" s="362"/>
      <c r="U27" s="362"/>
      <c r="V27" s="362"/>
      <c r="W27" s="362"/>
      <c r="X27" s="362"/>
      <c r="Y27" s="65"/>
      <c r="Z27" s="362"/>
      <c r="AA27" s="367"/>
      <c r="AB27" s="261"/>
      <c r="AC27" s="261"/>
      <c r="AD27" s="261"/>
      <c r="AE27" s="261"/>
      <c r="AF27" s="261"/>
      <c r="AG27" s="331"/>
      <c r="AH27" s="331"/>
    </row>
    <row r="28" spans="1:34" s="22" customFormat="1" ht="18" customHeight="1">
      <c r="A28" s="362"/>
      <c r="B28" s="362"/>
      <c r="C28" s="363"/>
      <c r="D28" s="362"/>
      <c r="E28" s="362"/>
      <c r="F28" s="362"/>
      <c r="G28" s="832"/>
      <c r="H28" s="832"/>
      <c r="I28" s="840"/>
      <c r="J28" s="840"/>
      <c r="K28" s="832"/>
      <c r="L28" s="836">
        <f>$I$8</f>
        <v>1784</v>
      </c>
      <c r="M28" s="836"/>
      <c r="N28" s="832"/>
      <c r="O28" s="840"/>
      <c r="P28" s="840"/>
      <c r="Q28" s="846"/>
      <c r="R28" s="846"/>
      <c r="S28" s="362"/>
      <c r="T28" s="362"/>
      <c r="U28" s="362"/>
      <c r="V28" s="362"/>
      <c r="W28" s="362"/>
      <c r="X28" s="362"/>
      <c r="Y28" s="65"/>
      <c r="Z28" s="362"/>
      <c r="AA28" s="367"/>
      <c r="AB28" s="261"/>
      <c r="AC28" s="261"/>
      <c r="AD28" s="261"/>
      <c r="AE28" s="261"/>
      <c r="AF28" s="261"/>
      <c r="AG28" s="331"/>
      <c r="AH28" s="331"/>
    </row>
    <row r="29" spans="1:34" s="22" customFormat="1" ht="18" customHeight="1">
      <c r="A29" s="362"/>
      <c r="B29" s="362"/>
      <c r="C29" s="363"/>
      <c r="D29" s="362"/>
      <c r="E29" s="362"/>
      <c r="F29" s="362"/>
      <c r="G29" s="362"/>
      <c r="H29" s="362"/>
      <c r="I29" s="362"/>
      <c r="J29" s="362"/>
      <c r="K29" s="362"/>
      <c r="L29" s="362"/>
      <c r="M29" s="65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64"/>
      <c r="AC29" s="72"/>
      <c r="AD29" s="261"/>
      <c r="AE29" s="261"/>
      <c r="AF29" s="261"/>
      <c r="AG29" s="331"/>
      <c r="AH29" s="331"/>
    </row>
    <row r="30" spans="1:34" s="22" customFormat="1" ht="18" customHeight="1">
      <c r="A30" s="362"/>
      <c r="B30" s="362"/>
      <c r="C30" s="362"/>
      <c r="D30" s="831" t="s">
        <v>518</v>
      </c>
      <c r="E30" s="831" t="s">
        <v>111</v>
      </c>
      <c r="F30" s="844" t="s">
        <v>433</v>
      </c>
      <c r="G30" s="844"/>
      <c r="H30" s="832" t="s">
        <v>422</v>
      </c>
      <c r="I30" s="834">
        <f>$O$27</f>
        <v>309</v>
      </c>
      <c r="J30" s="834"/>
      <c r="K30" s="371" t="s">
        <v>418</v>
      </c>
      <c r="L30" s="835">
        <f>$I$8/1000</f>
        <v>1.784</v>
      </c>
      <c r="M30" s="835"/>
      <c r="N30" s="372" t="s">
        <v>423</v>
      </c>
      <c r="O30" s="832" t="s">
        <v>422</v>
      </c>
      <c r="P30" s="838">
        <f>$I$30*$L$30^2/$K$31</f>
        <v>492</v>
      </c>
      <c r="Q30" s="838"/>
      <c r="R30" s="850" t="s">
        <v>424</v>
      </c>
      <c r="S30" s="850"/>
      <c r="T30" s="362"/>
      <c r="U30" s="362"/>
      <c r="V30" s="362"/>
      <c r="W30" s="362"/>
      <c r="X30" s="362"/>
      <c r="Y30" s="362"/>
      <c r="Z30" s="362"/>
      <c r="AA30" s="362"/>
      <c r="AB30" s="64"/>
      <c r="AC30" s="72"/>
      <c r="AD30" s="261"/>
      <c r="AE30" s="261"/>
      <c r="AF30" s="261"/>
      <c r="AG30" s="331"/>
      <c r="AH30" s="331"/>
    </row>
    <row r="31" spans="1:34" s="22" customFormat="1" ht="18" customHeight="1">
      <c r="A31" s="362"/>
      <c r="B31" s="362"/>
      <c r="C31" s="362"/>
      <c r="D31" s="831"/>
      <c r="E31" s="831"/>
      <c r="F31" s="831">
        <v>2</v>
      </c>
      <c r="G31" s="831"/>
      <c r="H31" s="832"/>
      <c r="I31" s="362"/>
      <c r="J31" s="362"/>
      <c r="K31" s="364">
        <v>2</v>
      </c>
      <c r="L31" s="362"/>
      <c r="M31" s="65"/>
      <c r="N31" s="373"/>
      <c r="O31" s="832"/>
      <c r="P31" s="838"/>
      <c r="Q31" s="838"/>
      <c r="R31" s="850"/>
      <c r="S31" s="850"/>
      <c r="T31" s="362"/>
      <c r="U31" s="362"/>
      <c r="V31" s="362"/>
      <c r="W31" s="362"/>
      <c r="X31" s="362"/>
      <c r="Y31" s="362"/>
      <c r="Z31" s="362"/>
      <c r="AA31" s="362"/>
      <c r="AB31" s="64"/>
      <c r="AC31" s="72"/>
      <c r="AD31" s="261"/>
      <c r="AE31" s="261"/>
      <c r="AF31" s="261"/>
      <c r="AG31" s="331"/>
      <c r="AH31" s="331"/>
    </row>
    <row r="32" spans="1:34" s="22" customFormat="1" ht="18" customHeight="1">
      <c r="A32" s="362"/>
      <c r="B32" s="362"/>
      <c r="C32" s="362"/>
      <c r="D32" s="369"/>
      <c r="E32" s="369"/>
      <c r="F32" s="369"/>
      <c r="G32" s="369"/>
      <c r="H32" s="364"/>
      <c r="I32" s="362"/>
      <c r="J32" s="362"/>
      <c r="K32" s="364"/>
      <c r="L32" s="362"/>
      <c r="M32" s="65"/>
      <c r="N32" s="362"/>
      <c r="O32" s="364"/>
      <c r="P32" s="374"/>
      <c r="Q32" s="374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64"/>
      <c r="AC32" s="72"/>
      <c r="AD32" s="261"/>
      <c r="AE32" s="261"/>
      <c r="AF32" s="261"/>
      <c r="AG32" s="331"/>
      <c r="AH32" s="331"/>
    </row>
    <row r="33" spans="1:34" s="22" customFormat="1" ht="18" customHeight="1">
      <c r="A33" s="362"/>
      <c r="B33" s="362"/>
      <c r="C33" s="362"/>
      <c r="D33" s="831" t="s">
        <v>519</v>
      </c>
      <c r="E33" s="831" t="s">
        <v>111</v>
      </c>
      <c r="F33" s="844" t="s">
        <v>13</v>
      </c>
      <c r="G33" s="844"/>
      <c r="H33" s="831" t="s">
        <v>0</v>
      </c>
      <c r="I33" s="837">
        <f>ROUND($P$30,0)*1000</f>
        <v>492000</v>
      </c>
      <c r="J33" s="837"/>
      <c r="K33" s="837"/>
      <c r="L33" s="516"/>
      <c r="M33" s="831" t="s">
        <v>0</v>
      </c>
      <c r="N33" s="852">
        <f>$I$33/$I$34</f>
        <v>24</v>
      </c>
      <c r="O33" s="852"/>
      <c r="P33" s="851" t="s">
        <v>434</v>
      </c>
      <c r="Q33" s="851"/>
      <c r="R33" s="831" t="str">
        <f>IF($N$33&lt;=$F$36,"＜","＞")</f>
        <v>＜</v>
      </c>
      <c r="S33" s="848" t="s">
        <v>213</v>
      </c>
      <c r="T33" s="848"/>
      <c r="U33" s="849"/>
      <c r="V33" s="850">
        <v>1.3</v>
      </c>
      <c r="W33" s="850"/>
      <c r="X33" s="832" t="s">
        <v>418</v>
      </c>
      <c r="Y33" s="847">
        <f>'使用材一覧'!$P$17</f>
        <v>165</v>
      </c>
      <c r="Z33" s="847"/>
      <c r="AA33" s="369"/>
      <c r="AB33" s="64"/>
      <c r="AC33" s="72"/>
      <c r="AD33" s="261"/>
      <c r="AE33" s="261"/>
      <c r="AF33" s="261"/>
      <c r="AG33" s="331"/>
      <c r="AH33" s="331"/>
    </row>
    <row r="34" spans="1:34" s="22" customFormat="1" ht="18" customHeight="1">
      <c r="A34" s="362"/>
      <c r="B34" s="362"/>
      <c r="C34" s="362"/>
      <c r="D34" s="831"/>
      <c r="E34" s="831"/>
      <c r="F34" s="831" t="s">
        <v>14</v>
      </c>
      <c r="G34" s="831"/>
      <c r="H34" s="831"/>
      <c r="I34" s="845">
        <f>'使用材一覧'!$P$15</f>
        <v>20100</v>
      </c>
      <c r="J34" s="845"/>
      <c r="K34" s="845"/>
      <c r="L34" s="813"/>
      <c r="M34" s="831"/>
      <c r="N34" s="852"/>
      <c r="O34" s="852"/>
      <c r="P34" s="851"/>
      <c r="Q34" s="851"/>
      <c r="R34" s="831"/>
      <c r="S34" s="848"/>
      <c r="T34" s="848"/>
      <c r="U34" s="849"/>
      <c r="V34" s="850"/>
      <c r="W34" s="850"/>
      <c r="X34" s="832"/>
      <c r="Y34" s="847"/>
      <c r="Z34" s="847"/>
      <c r="AA34" s="369"/>
      <c r="AB34" s="64"/>
      <c r="AC34" s="72"/>
      <c r="AD34" s="261"/>
      <c r="AE34" s="261"/>
      <c r="AF34" s="261"/>
      <c r="AG34" s="331"/>
      <c r="AH34" s="331"/>
    </row>
    <row r="35" spans="1:34" s="22" customFormat="1" ht="18" customHeight="1">
      <c r="A35" s="362"/>
      <c r="B35" s="362"/>
      <c r="C35" s="362"/>
      <c r="D35" s="369"/>
      <c r="E35" s="369"/>
      <c r="F35" s="369"/>
      <c r="G35" s="369"/>
      <c r="H35" s="364"/>
      <c r="I35" s="362"/>
      <c r="J35" s="362"/>
      <c r="K35" s="364"/>
      <c r="L35" s="362"/>
      <c r="M35" s="65"/>
      <c r="N35" s="362"/>
      <c r="O35" s="364"/>
      <c r="P35" s="374"/>
      <c r="Q35" s="374"/>
      <c r="R35" s="362"/>
      <c r="S35" s="362"/>
      <c r="T35" s="362"/>
      <c r="U35" s="362"/>
      <c r="V35" s="362"/>
      <c r="W35" s="362"/>
      <c r="X35" s="378"/>
      <c r="Y35" s="378"/>
      <c r="Z35" s="378"/>
      <c r="AA35" s="378"/>
      <c r="AB35" s="64"/>
      <c r="AC35" s="72"/>
      <c r="AD35" s="261"/>
      <c r="AE35" s="261"/>
      <c r="AF35" s="261"/>
      <c r="AG35" s="331"/>
      <c r="AH35" s="331"/>
    </row>
    <row r="36" spans="1:34" s="22" customFormat="1" ht="18" customHeight="1">
      <c r="A36" s="362"/>
      <c r="B36" s="362"/>
      <c r="C36" s="363"/>
      <c r="D36" s="362"/>
      <c r="E36" s="368" t="s">
        <v>422</v>
      </c>
      <c r="F36" s="841">
        <f>ROUNDDOWN($V$33*$Y$33,0)</f>
        <v>214</v>
      </c>
      <c r="G36" s="841"/>
      <c r="H36" s="362" t="s">
        <v>428</v>
      </c>
      <c r="I36" s="362"/>
      <c r="J36" s="362"/>
      <c r="K36" s="842">
        <f>IF($N$33&lt;=$F$36,"","NG")</f>
      </c>
      <c r="L36" s="843"/>
      <c r="M36" s="843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78"/>
      <c r="Y36" s="378"/>
      <c r="Z36" s="378"/>
      <c r="AA36" s="378"/>
      <c r="AB36" s="64"/>
      <c r="AC36" s="72"/>
      <c r="AD36" s="261"/>
      <c r="AE36" s="261"/>
      <c r="AF36" s="261"/>
      <c r="AG36" s="331"/>
      <c r="AH36" s="331"/>
    </row>
    <row r="37" spans="1:34" s="22" customFormat="1" ht="18" customHeight="1">
      <c r="A37" s="362"/>
      <c r="B37" s="362"/>
      <c r="C37" s="368"/>
      <c r="D37" s="368"/>
      <c r="E37" s="368"/>
      <c r="F37" s="368"/>
      <c r="G37" s="379"/>
      <c r="H37" s="374"/>
      <c r="I37" s="364"/>
      <c r="J37" s="380"/>
      <c r="K37" s="380"/>
      <c r="L37" s="380"/>
      <c r="M37" s="366"/>
      <c r="N37" s="366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261"/>
      <c r="AC37" s="261"/>
      <c r="AD37" s="261"/>
      <c r="AE37" s="261"/>
      <c r="AF37" s="261"/>
      <c r="AG37" s="331"/>
      <c r="AH37" s="331"/>
    </row>
    <row r="38" spans="1:34" ht="18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80"/>
      <c r="AE38" s="80"/>
      <c r="AF38" s="80"/>
      <c r="AG38" s="17"/>
      <c r="AH38" s="17"/>
    </row>
    <row r="39" spans="1:34" ht="18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80"/>
      <c r="AE39" s="80"/>
      <c r="AF39" s="80"/>
      <c r="AG39" s="17"/>
      <c r="AH39" s="17"/>
    </row>
    <row r="40" spans="1:34" ht="18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80"/>
      <c r="AE40" s="80"/>
      <c r="AF40" s="80"/>
      <c r="AG40" s="17"/>
      <c r="AH40" s="17"/>
    </row>
    <row r="41" spans="1:34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80"/>
      <c r="AE41" s="80"/>
      <c r="AF41" s="80"/>
      <c r="AG41" s="17"/>
      <c r="AH41" s="17"/>
    </row>
    <row r="42" spans="1:34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80"/>
      <c r="AE42" s="80"/>
      <c r="AF42" s="80"/>
      <c r="AG42" s="17"/>
      <c r="AH42" s="17"/>
    </row>
    <row r="43" spans="1:34" ht="18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80"/>
      <c r="AE43" s="80"/>
      <c r="AF43" s="80"/>
      <c r="AG43" s="17"/>
      <c r="AH43" s="17"/>
    </row>
    <row r="44" spans="1:34" ht="18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80"/>
      <c r="AE44" s="80"/>
      <c r="AF44" s="80"/>
      <c r="AG44" s="17"/>
      <c r="AH44" s="17"/>
    </row>
    <row r="45" spans="1:34" ht="18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80"/>
      <c r="AE45" s="80"/>
      <c r="AF45" s="80"/>
      <c r="AG45" s="17"/>
      <c r="AH45" s="17"/>
    </row>
    <row r="46" spans="1:34" ht="18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80"/>
      <c r="AE46" s="80"/>
      <c r="AF46" s="80"/>
      <c r="AG46" s="17"/>
      <c r="AH46" s="17"/>
    </row>
    <row r="47" spans="1:34" ht="18" customHeight="1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80"/>
      <c r="AE47" s="80"/>
      <c r="AF47" s="80"/>
      <c r="AG47" s="17"/>
      <c r="AH47" s="17"/>
    </row>
    <row r="48" spans="1:34" ht="18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80"/>
      <c r="AE48" s="80"/>
      <c r="AF48" s="80"/>
      <c r="AG48" s="17"/>
      <c r="AH48" s="17"/>
    </row>
    <row r="49" spans="1:34" ht="18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80"/>
      <c r="AE49" s="80"/>
      <c r="AF49" s="80"/>
      <c r="AG49" s="17"/>
      <c r="AH49" s="17"/>
    </row>
    <row r="50" spans="1:34" ht="18" customHeight="1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80"/>
      <c r="AE50" s="80"/>
      <c r="AF50" s="80"/>
      <c r="AG50" s="17"/>
      <c r="AH50" s="17"/>
    </row>
    <row r="51" spans="1:34" ht="13.5">
      <c r="A51" s="219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17"/>
      <c r="AE51" s="17"/>
      <c r="AF51" s="17"/>
      <c r="AG51" s="17"/>
      <c r="AH51" s="17"/>
    </row>
    <row r="52" spans="1:34" ht="13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ht="13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ht="13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ht="13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ht="13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ht="13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ht="13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13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3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3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3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</sheetData>
  <sheetProtection sheet="1" objects="1" scenarios="1"/>
  <mergeCells count="49">
    <mergeCell ref="N27:N28"/>
    <mergeCell ref="Q27:R28"/>
    <mergeCell ref="F36:G36"/>
    <mergeCell ref="K36:M36"/>
    <mergeCell ref="M33:M34"/>
    <mergeCell ref="I34:L34"/>
    <mergeCell ref="L28:M28"/>
    <mergeCell ref="L27:M27"/>
    <mergeCell ref="I33:L33"/>
    <mergeCell ref="P33:Q34"/>
    <mergeCell ref="Q9:S9"/>
    <mergeCell ref="P30:Q31"/>
    <mergeCell ref="R30:S31"/>
    <mergeCell ref="O30:O31"/>
    <mergeCell ref="P17:Q17"/>
    <mergeCell ref="R33:R34"/>
    <mergeCell ref="N33:O34"/>
    <mergeCell ref="I30:J30"/>
    <mergeCell ref="L30:M30"/>
    <mergeCell ref="F33:G33"/>
    <mergeCell ref="H33:H34"/>
    <mergeCell ref="F34:G34"/>
    <mergeCell ref="F30:G30"/>
    <mergeCell ref="F31:G31"/>
    <mergeCell ref="D33:D34"/>
    <mergeCell ref="E33:E34"/>
    <mergeCell ref="I27:J28"/>
    <mergeCell ref="W21:X21"/>
    <mergeCell ref="L25:M25"/>
    <mergeCell ref="O25:P25"/>
    <mergeCell ref="R25:S25"/>
    <mergeCell ref="U21:V21"/>
    <mergeCell ref="K27:K28"/>
    <mergeCell ref="O27:P28"/>
    <mergeCell ref="Y33:Z34"/>
    <mergeCell ref="S33:U34"/>
    <mergeCell ref="V33:W34"/>
    <mergeCell ref="X33:X34"/>
    <mergeCell ref="M7:N7"/>
    <mergeCell ref="C8:C10"/>
    <mergeCell ref="C11:C12"/>
    <mergeCell ref="C15:C16"/>
    <mergeCell ref="F16:G16"/>
    <mergeCell ref="I8:J8"/>
    <mergeCell ref="G27:G28"/>
    <mergeCell ref="H27:H28"/>
    <mergeCell ref="D30:D31"/>
    <mergeCell ref="E30:E31"/>
    <mergeCell ref="H30:H31"/>
  </mergeCell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03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30" width="3.3984375" style="1" customWidth="1"/>
    <col min="31" max="31" width="18.5" style="1" customWidth="1"/>
    <col min="32" max="32" width="10.8984375" style="1" customWidth="1"/>
    <col min="33" max="33" width="15.19921875" style="1" customWidth="1"/>
    <col min="34" max="34" width="11.19921875" style="1" customWidth="1"/>
    <col min="35" max="16384" width="4.69921875" style="1" customWidth="1"/>
  </cols>
  <sheetData>
    <row r="1" spans="2:42" ht="18" customHeight="1">
      <c r="B1" s="484" t="s">
        <v>195</v>
      </c>
      <c r="C1" s="36"/>
      <c r="D1" s="36"/>
      <c r="E1" s="36"/>
      <c r="F1" s="36"/>
      <c r="G1" s="36"/>
      <c r="H1" s="50"/>
      <c r="I1" s="50"/>
      <c r="J1" s="50"/>
      <c r="K1" s="50"/>
      <c r="L1" s="36"/>
      <c r="M1" s="41"/>
      <c r="N1" s="28"/>
      <c r="O1" s="28"/>
      <c r="P1" s="36"/>
      <c r="Q1" s="41"/>
      <c r="R1" s="4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18" customHeight="1">
      <c r="A2" s="80"/>
      <c r="B2" s="80"/>
      <c r="C2" s="36"/>
      <c r="D2" s="36"/>
      <c r="E2" s="36"/>
      <c r="F2" s="36"/>
      <c r="G2" s="36"/>
      <c r="H2" s="50"/>
      <c r="I2" s="36"/>
      <c r="J2" s="36"/>
      <c r="K2" s="102"/>
      <c r="L2" s="102"/>
      <c r="M2" s="75"/>
      <c r="N2" s="75"/>
      <c r="O2" s="112"/>
      <c r="P2" s="36"/>
      <c r="Q2" s="36"/>
      <c r="R2" s="36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1:42" ht="18" customHeight="1">
      <c r="A3" s="80"/>
      <c r="B3" s="79"/>
      <c r="C3" s="36" t="s">
        <v>194</v>
      </c>
      <c r="D3" s="36"/>
      <c r="E3" s="36"/>
      <c r="F3" s="36"/>
      <c r="G3" s="36"/>
      <c r="H3" s="36"/>
      <c r="I3" s="36"/>
      <c r="J3" s="36"/>
      <c r="K3" s="41"/>
      <c r="L3" s="41"/>
      <c r="M3" s="75"/>
      <c r="N3" s="75"/>
      <c r="O3" s="164"/>
      <c r="P3" s="36"/>
      <c r="Q3" s="36"/>
      <c r="R3" s="36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</row>
    <row r="4" spans="1:42" s="22" customFormat="1" ht="18" customHeight="1">
      <c r="A4" s="72"/>
      <c r="B4" s="72"/>
      <c r="C4" s="335"/>
      <c r="D4" s="72"/>
      <c r="E4" s="72"/>
      <c r="F4" s="72"/>
      <c r="G4" s="72"/>
      <c r="H4" s="72"/>
      <c r="I4" s="72"/>
      <c r="J4" s="72"/>
      <c r="K4" s="72"/>
      <c r="L4" s="353"/>
      <c r="M4" s="353"/>
      <c r="N4" s="353"/>
      <c r="O4" s="359"/>
      <c r="P4" s="72"/>
      <c r="Q4" s="72"/>
      <c r="R4" s="64"/>
      <c r="S4" s="64"/>
      <c r="T4" s="72"/>
      <c r="U4" s="72"/>
      <c r="V4" s="72"/>
      <c r="W4" s="72"/>
      <c r="X4" s="72"/>
      <c r="Y4" s="72"/>
      <c r="Z4" s="72"/>
      <c r="AA4" s="72"/>
      <c r="AB4" s="72"/>
      <c r="AC4" s="72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</row>
    <row r="5" spans="1:42" ht="18" customHeight="1">
      <c r="A5" s="36"/>
      <c r="B5" s="36" t="s">
        <v>199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</row>
    <row r="6" spans="1:42" ht="18" customHeight="1">
      <c r="A6" s="36"/>
      <c r="B6" s="36"/>
      <c r="C6" s="36" t="s">
        <v>198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</row>
    <row r="7" spans="1:42" ht="18" customHeight="1">
      <c r="A7" s="36"/>
      <c r="B7" s="36"/>
      <c r="C7" s="196"/>
      <c r="D7" s="36" t="s">
        <v>436</v>
      </c>
      <c r="E7" s="36"/>
      <c r="F7" s="520">
        <f>'朝顔'!$U$28</f>
        <v>19.3</v>
      </c>
      <c r="G7" s="520"/>
      <c r="H7" s="42" t="s">
        <v>336</v>
      </c>
      <c r="I7" s="36"/>
      <c r="J7" s="36"/>
      <c r="K7" s="36"/>
      <c r="L7" s="36"/>
      <c r="M7" s="42"/>
      <c r="N7" s="42"/>
      <c r="O7" s="42"/>
      <c r="P7" s="42"/>
      <c r="Q7" s="36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</row>
    <row r="8" spans="1:42" ht="18" customHeight="1">
      <c r="A8" s="36"/>
      <c r="B8" s="36"/>
      <c r="C8" s="36"/>
      <c r="D8" s="36"/>
      <c r="E8" s="36"/>
      <c r="F8" s="36"/>
      <c r="G8" s="36"/>
      <c r="H8" s="36"/>
      <c r="I8" s="36"/>
      <c r="J8" s="58"/>
      <c r="K8" s="36"/>
      <c r="L8" s="36"/>
      <c r="M8" s="36"/>
      <c r="N8" s="36"/>
      <c r="O8" s="36"/>
      <c r="P8" s="96"/>
      <c r="Q8" s="9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</row>
    <row r="9" spans="1:42" ht="18" customHeight="1">
      <c r="A9" s="36"/>
      <c r="B9" s="36"/>
      <c r="C9" s="36"/>
      <c r="D9" s="36"/>
      <c r="E9" s="36"/>
      <c r="F9" s="19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51"/>
      <c r="V9" s="51"/>
      <c r="W9" s="36"/>
      <c r="X9" s="36"/>
      <c r="Y9" s="51"/>
      <c r="Z9" s="51"/>
      <c r="AA9" s="36"/>
      <c r="AB9" s="36"/>
      <c r="AC9" s="36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</row>
    <row r="10" spans="1:42" ht="18" customHeight="1">
      <c r="A10" s="36"/>
      <c r="B10" s="36"/>
      <c r="C10" s="36" t="s">
        <v>218</v>
      </c>
      <c r="D10" s="36"/>
      <c r="E10" s="36"/>
      <c r="F10" s="36"/>
      <c r="G10" s="36"/>
      <c r="H10" s="577" t="s">
        <v>105</v>
      </c>
      <c r="I10" s="577"/>
      <c r="J10" s="577"/>
      <c r="K10" s="577"/>
      <c r="L10" s="577"/>
      <c r="M10" s="577"/>
      <c r="N10" s="577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80"/>
      <c r="AE10" s="304" t="s">
        <v>437</v>
      </c>
      <c r="AF10" s="305" t="s">
        <v>438</v>
      </c>
      <c r="AG10" s="305" t="s">
        <v>439</v>
      </c>
      <c r="AH10" s="305" t="s">
        <v>440</v>
      </c>
      <c r="AI10" s="80"/>
      <c r="AJ10" s="80"/>
      <c r="AK10" s="80"/>
      <c r="AL10" s="80"/>
      <c r="AM10" s="80"/>
      <c r="AN10" s="80"/>
      <c r="AO10" s="80"/>
      <c r="AP10" s="80"/>
    </row>
    <row r="11" spans="1:42" ht="18" customHeight="1">
      <c r="A11" s="36"/>
      <c r="B11" s="36"/>
      <c r="C11" s="36"/>
      <c r="D11" s="36" t="s">
        <v>441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77" t="s">
        <v>102</v>
      </c>
      <c r="AF11" s="177" t="s">
        <v>108</v>
      </c>
      <c r="AG11" s="177" t="s">
        <v>342</v>
      </c>
      <c r="AH11" s="177" t="s">
        <v>343</v>
      </c>
      <c r="AI11" s="80"/>
      <c r="AJ11" s="80"/>
      <c r="AK11" s="80"/>
      <c r="AL11" s="80"/>
      <c r="AM11" s="80"/>
      <c r="AN11" s="80"/>
      <c r="AO11" s="80"/>
      <c r="AP11" s="80"/>
    </row>
    <row r="12" spans="1:42" ht="18" customHeight="1">
      <c r="A12" s="36"/>
      <c r="B12" s="36"/>
      <c r="C12" s="36"/>
      <c r="D12" s="220"/>
      <c r="E12" s="196" t="s">
        <v>442</v>
      </c>
      <c r="F12" s="308"/>
      <c r="G12" s="309"/>
      <c r="H12" s="772">
        <v>0.945</v>
      </c>
      <c r="I12" s="772"/>
      <c r="J12" s="540"/>
      <c r="K12" s="42" t="s">
        <v>373</v>
      </c>
      <c r="L12" s="728">
        <f>$G$18</f>
        <v>0.44</v>
      </c>
      <c r="M12" s="728"/>
      <c r="N12" s="42" t="s">
        <v>373</v>
      </c>
      <c r="O12" s="773">
        <f>$Q$21</f>
        <v>0.712</v>
      </c>
      <c r="P12" s="773"/>
      <c r="Q12" s="540"/>
      <c r="R12" s="267" t="s">
        <v>337</v>
      </c>
      <c r="S12" s="728">
        <f>0.11+0.945*$L$12*$O$12</f>
        <v>0.41</v>
      </c>
      <c r="T12" s="728"/>
      <c r="U12" s="220"/>
      <c r="V12" s="79"/>
      <c r="W12" s="79"/>
      <c r="X12" s="36"/>
      <c r="Y12" s="28"/>
      <c r="Z12" s="42"/>
      <c r="AA12" s="50"/>
      <c r="AB12" s="36"/>
      <c r="AC12" s="36"/>
      <c r="AD12" s="36"/>
      <c r="AE12" s="306" t="s">
        <v>103</v>
      </c>
      <c r="AF12" s="307">
        <v>1</v>
      </c>
      <c r="AG12" s="307">
        <v>2</v>
      </c>
      <c r="AH12" s="134"/>
      <c r="AI12" s="80"/>
      <c r="AJ12" s="80"/>
      <c r="AK12" s="80"/>
      <c r="AL12" s="80"/>
      <c r="AM12" s="80"/>
      <c r="AN12" s="80"/>
      <c r="AO12" s="80"/>
      <c r="AP12" s="80"/>
    </row>
    <row r="13" spans="1:42" ht="18" customHeight="1">
      <c r="A13" s="36"/>
      <c r="B13" s="36"/>
      <c r="C13" s="36"/>
      <c r="D13" s="36"/>
      <c r="E13" s="36"/>
      <c r="F13" s="36"/>
      <c r="G13" s="36"/>
      <c r="H13" s="36"/>
      <c r="I13" s="50"/>
      <c r="J13" s="50"/>
      <c r="K13" s="36"/>
      <c r="L13" s="50"/>
      <c r="M13" s="50"/>
      <c r="N13" s="36"/>
      <c r="O13" s="50"/>
      <c r="P13" s="50"/>
      <c r="Q13" s="196"/>
      <c r="R13" s="50"/>
      <c r="S13" s="50"/>
      <c r="T13" s="36"/>
      <c r="U13" s="55"/>
      <c r="V13" s="55"/>
      <c r="W13" s="36"/>
      <c r="X13" s="96"/>
      <c r="Y13" s="36"/>
      <c r="Z13" s="50"/>
      <c r="AA13" s="50"/>
      <c r="AB13" s="36"/>
      <c r="AC13" s="36"/>
      <c r="AD13" s="36"/>
      <c r="AE13" s="143" t="s">
        <v>104</v>
      </c>
      <c r="AF13" s="312">
        <v>0.9</v>
      </c>
      <c r="AG13" s="312">
        <v>1.87</v>
      </c>
      <c r="AH13" s="143">
        <v>4.5</v>
      </c>
      <c r="AI13" s="80"/>
      <c r="AJ13" s="80"/>
      <c r="AK13" s="80"/>
      <c r="AL13" s="80"/>
      <c r="AM13" s="80"/>
      <c r="AN13" s="80"/>
      <c r="AO13" s="80"/>
      <c r="AP13" s="80"/>
    </row>
    <row r="14" spans="1:42" ht="18" customHeight="1">
      <c r="A14" s="36"/>
      <c r="B14" s="36"/>
      <c r="C14" s="36"/>
      <c r="D14" s="36" t="s">
        <v>219</v>
      </c>
      <c r="E14" s="36"/>
      <c r="F14" s="259"/>
      <c r="G14" s="80"/>
      <c r="H14" s="36"/>
      <c r="I14" s="36"/>
      <c r="J14" s="36"/>
      <c r="K14" s="36"/>
      <c r="L14" s="761"/>
      <c r="M14" s="763"/>
      <c r="N14" s="36"/>
      <c r="O14" s="36"/>
      <c r="P14" s="36"/>
      <c r="Q14" s="36"/>
      <c r="R14" s="36"/>
      <c r="S14" s="51"/>
      <c r="T14" s="51"/>
      <c r="U14" s="36"/>
      <c r="V14" s="36"/>
      <c r="W14" s="51"/>
      <c r="X14" s="51"/>
      <c r="Y14" s="51"/>
      <c r="Z14" s="36"/>
      <c r="AA14" s="36"/>
      <c r="AB14" s="50"/>
      <c r="AC14" s="50"/>
      <c r="AD14" s="28"/>
      <c r="AE14" s="143" t="s">
        <v>105</v>
      </c>
      <c r="AF14" s="312">
        <v>0.26</v>
      </c>
      <c r="AG14" s="312">
        <v>0.44</v>
      </c>
      <c r="AH14" s="143">
        <v>3.5</v>
      </c>
      <c r="AI14" s="80"/>
      <c r="AJ14" s="80"/>
      <c r="AK14" s="80"/>
      <c r="AL14" s="80"/>
      <c r="AM14" s="80"/>
      <c r="AN14" s="80"/>
      <c r="AO14" s="80"/>
      <c r="AP14" s="80"/>
    </row>
    <row r="15" spans="1:42" ht="18" customHeight="1">
      <c r="A15" s="36"/>
      <c r="B15" s="36"/>
      <c r="C15" s="36"/>
      <c r="D15" s="36"/>
      <c r="E15" s="36" t="s">
        <v>443</v>
      </c>
      <c r="F15" s="36"/>
      <c r="G15" s="722">
        <f>VLOOKUP($H$10,$AE$12:$AH$16,2,FALSE)</f>
        <v>0.26</v>
      </c>
      <c r="H15" s="722"/>
      <c r="I15" s="36" t="s">
        <v>183</v>
      </c>
      <c r="J15" s="36"/>
      <c r="K15" s="36"/>
      <c r="L15" s="36"/>
      <c r="M15" s="36"/>
      <c r="N15" s="51"/>
      <c r="O15" s="51"/>
      <c r="P15" s="36"/>
      <c r="Q15" s="36"/>
      <c r="R15" s="36"/>
      <c r="S15" s="36"/>
      <c r="T15" s="51"/>
      <c r="U15" s="51"/>
      <c r="V15" s="36"/>
      <c r="W15" s="36"/>
      <c r="X15" s="51"/>
      <c r="Y15" s="51"/>
      <c r="Z15" s="36"/>
      <c r="AA15" s="36"/>
      <c r="AB15" s="50"/>
      <c r="AC15" s="50"/>
      <c r="AD15" s="28"/>
      <c r="AE15" s="143" t="s">
        <v>106</v>
      </c>
      <c r="AF15" s="312">
        <v>0.24</v>
      </c>
      <c r="AG15" s="312">
        <v>0.39</v>
      </c>
      <c r="AH15" s="143">
        <v>1.5</v>
      </c>
      <c r="AI15" s="80"/>
      <c r="AJ15" s="80"/>
      <c r="AK15" s="80"/>
      <c r="AL15" s="80"/>
      <c r="AM15" s="80"/>
      <c r="AN15" s="80"/>
      <c r="AO15" s="80"/>
      <c r="AP15" s="80"/>
    </row>
    <row r="16" spans="1:42" ht="18" customHeight="1">
      <c r="A16" s="36"/>
      <c r="B16" s="36"/>
      <c r="C16" s="36"/>
      <c r="D16" s="36"/>
      <c r="E16" s="36" t="str">
        <f>IF($G$15&lt;&gt;1,"Ｋ　＝　1.2 φ/ ( 1 - φ)^2 =","")</f>
        <v>Ｋ　＝　1.2 φ/ ( 1 - φ)^2 =</v>
      </c>
      <c r="F16" s="36"/>
      <c r="G16" s="36"/>
      <c r="H16" s="36"/>
      <c r="I16" s="96"/>
      <c r="J16" s="96"/>
      <c r="K16" s="36"/>
      <c r="L16" s="868">
        <f>IF($G$15&lt;&gt;1,1.2*$G$15/(1-$G$15)^2,"")</f>
        <v>0.57</v>
      </c>
      <c r="M16" s="869"/>
      <c r="N16" s="870"/>
      <c r="O16" s="314" t="str">
        <f>IF($G$15&lt;&gt;1,IF($L$16&lt;=0.73,"≦","＞"),"")</f>
        <v>≦</v>
      </c>
      <c r="P16" s="774">
        <f>IF($G$15&lt;&gt;1,0.73,"")</f>
        <v>0.73</v>
      </c>
      <c r="Q16" s="762"/>
      <c r="R16" s="36"/>
      <c r="S16" s="36"/>
      <c r="T16" s="36"/>
      <c r="U16" s="51"/>
      <c r="V16" s="51"/>
      <c r="W16" s="36"/>
      <c r="X16" s="36"/>
      <c r="Y16" s="51"/>
      <c r="Z16" s="51"/>
      <c r="AA16" s="36"/>
      <c r="AB16" s="36"/>
      <c r="AC16" s="36"/>
      <c r="AD16" s="36"/>
      <c r="AE16" s="152" t="s">
        <v>107</v>
      </c>
      <c r="AF16" s="313">
        <v>0.11</v>
      </c>
      <c r="AG16" s="313">
        <v>0.15</v>
      </c>
      <c r="AH16" s="152"/>
      <c r="AI16" s="80"/>
      <c r="AJ16" s="80"/>
      <c r="AK16" s="80"/>
      <c r="AL16" s="80"/>
      <c r="AM16" s="80"/>
      <c r="AN16" s="80"/>
      <c r="AO16" s="80"/>
      <c r="AP16" s="80"/>
    </row>
    <row r="17" spans="1:42" ht="18" customHeight="1">
      <c r="A17" s="36"/>
      <c r="B17" s="51"/>
      <c r="C17" s="51"/>
      <c r="D17" s="51"/>
      <c r="E17" s="51"/>
      <c r="F17" s="36" t="str">
        <f>IF($AE$20="A",$AE$21,IF($AE$20="B",$AE$22,IF($AE$20="C",$AE$23,"error")))</f>
        <v>φ≠1,  K≦0.73 なので</v>
      </c>
      <c r="G17" s="36"/>
      <c r="H17" s="36"/>
      <c r="I17" s="51"/>
      <c r="J17" s="51"/>
      <c r="K17" s="36"/>
      <c r="L17" s="36"/>
      <c r="M17" s="36" t="str">
        <f>IF($AE$20="A","",IF($AE$20="B",$AG$22,IF($AE$20="C",$AG$23,"error")))</f>
        <v>C2 = K /　SQRT( 1 + K/4 )</v>
      </c>
      <c r="N17" s="36"/>
      <c r="O17" s="36"/>
      <c r="P17" s="36"/>
      <c r="Q17" s="96"/>
      <c r="R17" s="96"/>
      <c r="S17" s="36"/>
      <c r="T17" s="51"/>
      <c r="U17" s="51"/>
      <c r="V17" s="314"/>
      <c r="W17" s="51"/>
      <c r="X17" s="36"/>
      <c r="Y17" s="36"/>
      <c r="Z17" s="36"/>
      <c r="AA17" s="36"/>
      <c r="AB17" s="36"/>
      <c r="AC17" s="36"/>
      <c r="AD17" s="36"/>
      <c r="AE17" s="42"/>
      <c r="AF17" s="315"/>
      <c r="AG17" s="315"/>
      <c r="AH17" s="42"/>
      <c r="AI17" s="80"/>
      <c r="AJ17" s="80"/>
      <c r="AK17" s="80"/>
      <c r="AL17" s="80"/>
      <c r="AM17" s="80"/>
      <c r="AN17" s="80"/>
      <c r="AO17" s="80"/>
      <c r="AP17" s="80"/>
    </row>
    <row r="18" spans="1:42" ht="18" customHeight="1">
      <c r="A18" s="36"/>
      <c r="B18" s="36"/>
      <c r="C18" s="36"/>
      <c r="D18" s="36"/>
      <c r="E18" s="36" t="s">
        <v>444</v>
      </c>
      <c r="F18" s="36"/>
      <c r="G18" s="865">
        <f>IF($G$15&lt;&gt;1,IF($L$16&lt;=0.73,$L$16/(1+$L$16/4)^2,2.8*LOG10($L$16+0.6-SQRT(1.2*$L$16+0.36))-2.8*LOG10($L$16)+2),2)</f>
        <v>0.44</v>
      </c>
      <c r="H18" s="86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80" t="s">
        <v>153</v>
      </c>
      <c r="AF18" s="80"/>
      <c r="AG18" s="80"/>
      <c r="AH18" s="42"/>
      <c r="AI18" s="80"/>
      <c r="AJ18" s="80"/>
      <c r="AK18" s="80"/>
      <c r="AL18" s="80"/>
      <c r="AM18" s="80"/>
      <c r="AN18" s="80"/>
      <c r="AO18" s="80"/>
      <c r="AP18" s="80"/>
    </row>
    <row r="19" spans="1:42" ht="18" customHeight="1">
      <c r="A19" s="36"/>
      <c r="B19" s="36"/>
      <c r="C19" s="36"/>
      <c r="D19" s="36"/>
      <c r="E19" s="36"/>
      <c r="F19" s="36"/>
      <c r="G19" s="36"/>
      <c r="H19" s="36"/>
      <c r="I19" s="96"/>
      <c r="J19" s="96"/>
      <c r="K19" s="36"/>
      <c r="L19" s="316"/>
      <c r="M19" s="36"/>
      <c r="N19" s="36"/>
      <c r="O19" s="82"/>
      <c r="P19" s="234"/>
      <c r="Q19" s="36"/>
      <c r="R19" s="36"/>
      <c r="S19" s="36"/>
      <c r="T19" s="275"/>
      <c r="U19" s="275"/>
      <c r="V19" s="36"/>
      <c r="W19" s="36"/>
      <c r="X19" s="36"/>
      <c r="Y19" s="36"/>
      <c r="Z19" s="36"/>
      <c r="AA19" s="36"/>
      <c r="AB19" s="42"/>
      <c r="AC19" s="315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</row>
    <row r="20" spans="1:42" ht="18" customHeight="1">
      <c r="A20" s="36"/>
      <c r="B20" s="36"/>
      <c r="C20" s="36"/>
      <c r="D20" s="36" t="s">
        <v>210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80"/>
      <c r="AE20" s="761" t="str">
        <f>IF($G$15&lt;&gt;1,IF($L$16&lt;=0.73,"B","C"),"A")</f>
        <v>B</v>
      </c>
      <c r="AF20" s="762"/>
      <c r="AG20" s="80"/>
      <c r="AH20" s="80"/>
      <c r="AI20" s="80"/>
      <c r="AJ20" s="80"/>
      <c r="AK20" s="80"/>
      <c r="AL20" s="80"/>
      <c r="AM20" s="80"/>
      <c r="AN20" s="80"/>
      <c r="AO20" s="80"/>
      <c r="AP20" s="80"/>
    </row>
    <row r="21" spans="1:42" ht="18" customHeight="1">
      <c r="A21" s="36"/>
      <c r="B21" s="36"/>
      <c r="C21" s="36"/>
      <c r="D21" s="36"/>
      <c r="E21" s="36" t="s">
        <v>445</v>
      </c>
      <c r="F21" s="196"/>
      <c r="G21" s="196"/>
      <c r="H21" s="36"/>
      <c r="I21" s="320"/>
      <c r="J21" s="320"/>
      <c r="K21" s="36"/>
      <c r="L21" s="55"/>
      <c r="M21" s="55"/>
      <c r="N21" s="36"/>
      <c r="O21" s="51"/>
      <c r="P21" s="55"/>
      <c r="Q21" s="788">
        <f>0.5813+0.013*$J$23-0.0001*$J$23^2</f>
        <v>0.712</v>
      </c>
      <c r="R21" s="789"/>
      <c r="S21" s="789"/>
      <c r="T21" s="49"/>
      <c r="U21" s="36"/>
      <c r="V21" s="51"/>
      <c r="W21" s="36"/>
      <c r="X21" s="36"/>
      <c r="Y21" s="51"/>
      <c r="Z21" s="51"/>
      <c r="AA21" s="36"/>
      <c r="AB21" s="36"/>
      <c r="AC21" s="36"/>
      <c r="AD21" s="80"/>
      <c r="AE21" s="317" t="s">
        <v>446</v>
      </c>
      <c r="AF21" s="177" t="s">
        <v>347</v>
      </c>
      <c r="AG21" s="61" t="s">
        <v>447</v>
      </c>
      <c r="AH21" s="318"/>
      <c r="AI21" s="318"/>
      <c r="AJ21" s="318"/>
      <c r="AK21" s="318"/>
      <c r="AL21" s="319"/>
      <c r="AM21" s="80"/>
      <c r="AN21" s="80"/>
      <c r="AO21" s="80"/>
      <c r="AP21" s="80"/>
    </row>
    <row r="22" spans="1:42" ht="18" customHeight="1">
      <c r="A22" s="36"/>
      <c r="B22" s="36"/>
      <c r="C22" s="36"/>
      <c r="D22" s="36" t="s">
        <v>351</v>
      </c>
      <c r="E22" s="196"/>
      <c r="F22" s="196"/>
      <c r="G22" s="196"/>
      <c r="H22" s="36"/>
      <c r="I22" s="36"/>
      <c r="J22" s="36"/>
      <c r="K22" s="36"/>
      <c r="L22" s="96"/>
      <c r="M22" s="96"/>
      <c r="N22" s="36"/>
      <c r="O22" s="55"/>
      <c r="P22" s="55"/>
      <c r="Q22" s="196"/>
      <c r="R22" s="49"/>
      <c r="S22" s="49"/>
      <c r="T22" s="36"/>
      <c r="U22" s="51"/>
      <c r="V22" s="51"/>
      <c r="W22" s="36"/>
      <c r="X22" s="36"/>
      <c r="Y22" s="51"/>
      <c r="Z22" s="51"/>
      <c r="AA22" s="36"/>
      <c r="AB22" s="36"/>
      <c r="AC22" s="80"/>
      <c r="AD22" s="80"/>
      <c r="AE22" s="317" t="s">
        <v>348</v>
      </c>
      <c r="AF22" s="177" t="s">
        <v>349</v>
      </c>
      <c r="AG22" s="61" t="s">
        <v>448</v>
      </c>
      <c r="AH22" s="318"/>
      <c r="AI22" s="318"/>
      <c r="AJ22" s="318"/>
      <c r="AK22" s="318"/>
      <c r="AL22" s="319"/>
      <c r="AM22" s="80"/>
      <c r="AN22" s="80"/>
      <c r="AO22" s="80"/>
      <c r="AP22" s="80"/>
    </row>
    <row r="23" spans="1:42" ht="18" customHeight="1">
      <c r="A23" s="36"/>
      <c r="B23" s="36"/>
      <c r="C23" s="36"/>
      <c r="D23" s="36"/>
      <c r="E23" s="36" t="s">
        <v>449</v>
      </c>
      <c r="F23" s="36"/>
      <c r="G23" s="36"/>
      <c r="H23" s="36"/>
      <c r="I23" s="36"/>
      <c r="J23" s="721">
        <f>$K$24/$U$24</f>
        <v>11</v>
      </c>
      <c r="K23" s="721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80"/>
      <c r="AD23" s="80"/>
      <c r="AE23" s="317" t="s">
        <v>352</v>
      </c>
      <c r="AF23" s="177" t="s">
        <v>353</v>
      </c>
      <c r="AG23" s="61" t="s">
        <v>450</v>
      </c>
      <c r="AH23" s="318"/>
      <c r="AI23" s="318"/>
      <c r="AJ23" s="318"/>
      <c r="AK23" s="318"/>
      <c r="AL23" s="319"/>
      <c r="AM23" s="80"/>
      <c r="AN23" s="80"/>
      <c r="AO23" s="80"/>
      <c r="AP23" s="80"/>
    </row>
    <row r="24" spans="1:42" ht="18" customHeight="1">
      <c r="A24" s="36"/>
      <c r="B24" s="36"/>
      <c r="C24" s="196"/>
      <c r="D24" s="36"/>
      <c r="E24" s="36"/>
      <c r="F24" s="36"/>
      <c r="G24" s="36" t="s">
        <v>220</v>
      </c>
      <c r="H24" s="36"/>
      <c r="I24" s="36"/>
      <c r="J24" s="50"/>
      <c r="K24" s="767">
        <v>40</v>
      </c>
      <c r="L24" s="768"/>
      <c r="M24" s="769"/>
      <c r="N24" s="36" t="s">
        <v>355</v>
      </c>
      <c r="O24" s="36"/>
      <c r="P24" s="36"/>
      <c r="Q24" s="36" t="s">
        <v>221</v>
      </c>
      <c r="R24" s="36"/>
      <c r="S24" s="36"/>
      <c r="T24" s="36"/>
      <c r="U24" s="776">
        <f>'朝顔'!$C$12/1000</f>
        <v>3.65</v>
      </c>
      <c r="V24" s="777"/>
      <c r="W24" s="585"/>
      <c r="X24" s="36" t="s">
        <v>355</v>
      </c>
      <c r="Y24" s="36"/>
      <c r="Z24" s="36"/>
      <c r="AA24" s="36"/>
      <c r="AB24" s="36"/>
      <c r="AC24" s="36"/>
      <c r="AD24" s="36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</row>
    <row r="25" spans="1:42" ht="18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85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</row>
    <row r="26" spans="1:42" ht="18" customHeight="1">
      <c r="A26" s="36"/>
      <c r="B26" s="36"/>
      <c r="C26" s="36"/>
      <c r="D26" s="36"/>
      <c r="E26" s="36"/>
      <c r="F26" s="36"/>
      <c r="G26" s="36"/>
      <c r="H26" s="36"/>
      <c r="I26" s="96"/>
      <c r="J26" s="96"/>
      <c r="K26" s="36"/>
      <c r="L26" s="96"/>
      <c r="M26" s="50"/>
      <c r="N26" s="50"/>
      <c r="O26" s="196"/>
      <c r="P26" s="36"/>
      <c r="Q26" s="36"/>
      <c r="R26" s="36"/>
      <c r="S26" s="36"/>
      <c r="T26" s="36"/>
      <c r="U26" s="51"/>
      <c r="V26" s="51"/>
      <c r="W26" s="36"/>
      <c r="X26" s="36"/>
      <c r="Y26" s="51"/>
      <c r="Z26" s="51"/>
      <c r="AA26" s="36"/>
      <c r="AB26" s="36"/>
      <c r="AC26" s="36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</row>
    <row r="27" spans="1:42" s="22" customFormat="1" ht="18" customHeight="1">
      <c r="A27" s="36"/>
      <c r="B27" s="36"/>
      <c r="C27" s="36" t="s">
        <v>451</v>
      </c>
      <c r="D27" s="36"/>
      <c r="E27" s="36"/>
      <c r="F27" s="36"/>
      <c r="G27" s="36"/>
      <c r="H27" s="36"/>
      <c r="I27" s="50"/>
      <c r="J27" s="50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72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</row>
    <row r="28" spans="1:42" s="22" customFormat="1" ht="18" customHeight="1">
      <c r="A28" s="36"/>
      <c r="B28" s="36"/>
      <c r="C28" s="196"/>
      <c r="D28" s="36" t="s">
        <v>452</v>
      </c>
      <c r="E28" s="36"/>
      <c r="F28" s="36"/>
      <c r="G28" s="36"/>
      <c r="H28" s="36"/>
      <c r="I28" s="36"/>
      <c r="J28" s="541">
        <v>0.615</v>
      </c>
      <c r="K28" s="541"/>
      <c r="L28" s="42" t="s">
        <v>356</v>
      </c>
      <c r="M28" s="863">
        <f>$F$7</f>
        <v>19.3</v>
      </c>
      <c r="N28" s="864"/>
      <c r="O28" s="323" t="s">
        <v>357</v>
      </c>
      <c r="P28" s="42" t="s">
        <v>356</v>
      </c>
      <c r="Q28" s="728">
        <f>$S$12</f>
        <v>0.41</v>
      </c>
      <c r="R28" s="579"/>
      <c r="S28" s="273" t="s">
        <v>358</v>
      </c>
      <c r="T28" s="726">
        <f>$J$28*$M$28^2*$Q$28</f>
        <v>94</v>
      </c>
      <c r="U28" s="726"/>
      <c r="V28" s="36" t="s">
        <v>359</v>
      </c>
      <c r="W28" s="36"/>
      <c r="X28" s="36"/>
      <c r="Y28" s="36"/>
      <c r="Z28" s="36"/>
      <c r="AA28" s="36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</row>
    <row r="29" spans="1:42" s="22" customFormat="1" ht="18" customHeight="1">
      <c r="A29" s="187"/>
      <c r="B29" s="187"/>
      <c r="C29" s="399"/>
      <c r="D29" s="187"/>
      <c r="E29" s="187"/>
      <c r="F29" s="187"/>
      <c r="G29" s="187"/>
      <c r="H29" s="187"/>
      <c r="I29" s="187"/>
      <c r="J29" s="266"/>
      <c r="K29" s="266"/>
      <c r="L29" s="266"/>
      <c r="M29" s="400"/>
      <c r="N29" s="381"/>
      <c r="O29" s="401"/>
      <c r="P29" s="266"/>
      <c r="Q29" s="402"/>
      <c r="R29" s="266"/>
      <c r="S29" s="403"/>
      <c r="T29" s="404"/>
      <c r="U29" s="404"/>
      <c r="V29" s="187"/>
      <c r="W29" s="187"/>
      <c r="X29" s="187"/>
      <c r="Y29" s="187"/>
      <c r="Z29" s="187"/>
      <c r="AA29" s="187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</row>
    <row r="30" spans="1:42" s="22" customFormat="1" ht="18" customHeight="1">
      <c r="A30" s="264"/>
      <c r="B30" s="264"/>
      <c r="C30" s="854">
        <f>'朝顔'!$D$8-100</f>
        <v>1200</v>
      </c>
      <c r="D30" s="384"/>
      <c r="E30" s="264"/>
      <c r="F30" s="264"/>
      <c r="G30" s="264"/>
      <c r="H30" s="264"/>
      <c r="I30" s="264"/>
      <c r="J30" s="264"/>
      <c r="K30" s="264"/>
      <c r="L30" s="264"/>
      <c r="M30" s="853"/>
      <c r="N30" s="853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</row>
    <row r="31" spans="1:42" s="22" customFormat="1" ht="18" customHeight="1">
      <c r="A31" s="264"/>
      <c r="B31" s="264"/>
      <c r="C31" s="871"/>
      <c r="D31" s="264"/>
      <c r="E31" s="264"/>
      <c r="F31" s="389" t="s">
        <v>453</v>
      </c>
      <c r="G31" s="264"/>
      <c r="H31" s="264"/>
      <c r="I31" s="264" t="s">
        <v>454</v>
      </c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384"/>
      <c r="Y31" s="264"/>
      <c r="Z31" s="264"/>
      <c r="AA31" s="264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</row>
    <row r="32" spans="1:42" s="22" customFormat="1" ht="18" customHeight="1">
      <c r="A32" s="264"/>
      <c r="B32" s="264"/>
      <c r="C32" s="871"/>
      <c r="D32" s="264"/>
      <c r="E32" s="264"/>
      <c r="F32" s="264"/>
      <c r="G32" s="264"/>
      <c r="H32" s="264"/>
      <c r="I32" s="860">
        <f>SQRT($C$30^2+$E$37^2)</f>
        <v>1297</v>
      </c>
      <c r="J32" s="860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384"/>
      <c r="Y32" s="264"/>
      <c r="Z32" s="68"/>
      <c r="AA32" s="68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</row>
    <row r="33" spans="1:42" s="22" customFormat="1" ht="18" customHeight="1">
      <c r="A33" s="264"/>
      <c r="B33" s="264"/>
      <c r="C33" s="867" t="s">
        <v>455</v>
      </c>
      <c r="D33" s="390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388"/>
      <c r="P33" s="264"/>
      <c r="Q33" s="861" t="s">
        <v>172</v>
      </c>
      <c r="R33" s="862"/>
      <c r="S33" s="862"/>
      <c r="T33" s="264"/>
      <c r="U33" s="264"/>
      <c r="V33" s="264"/>
      <c r="W33" s="264"/>
      <c r="X33" s="384"/>
      <c r="Y33" s="264"/>
      <c r="Z33" s="68"/>
      <c r="AA33" s="68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</row>
    <row r="34" spans="1:42" s="22" customFormat="1" ht="18" customHeight="1">
      <c r="A34" s="264"/>
      <c r="B34" s="264"/>
      <c r="C34" s="867"/>
      <c r="D34" s="390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384"/>
      <c r="Y34" s="264"/>
      <c r="Z34" s="391"/>
      <c r="AA34" s="264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</row>
    <row r="35" spans="1:42" s="22" customFormat="1" ht="18" customHeight="1">
      <c r="A35" s="388"/>
      <c r="B35" s="264"/>
      <c r="C35" s="875">
        <f>'朝顔'!$W$10+'朝顔'!$D$8-$C$30</f>
        <v>1233</v>
      </c>
      <c r="D35" s="389"/>
      <c r="E35" s="264"/>
      <c r="F35" s="264"/>
      <c r="G35" s="264"/>
      <c r="H35" s="264"/>
      <c r="I35" s="264"/>
      <c r="J35" s="264"/>
      <c r="K35" s="264" t="s">
        <v>456</v>
      </c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384"/>
      <c r="X35" s="264"/>
      <c r="Y35" s="264"/>
      <c r="Z35" s="264"/>
      <c r="AA35" s="264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</row>
    <row r="36" spans="1:42" s="22" customFormat="1" ht="18" customHeight="1">
      <c r="A36" s="264"/>
      <c r="B36" s="385"/>
      <c r="C36" s="876"/>
      <c r="D36" s="394"/>
      <c r="E36" s="264"/>
      <c r="F36" s="264"/>
      <c r="G36" s="264"/>
      <c r="H36" s="264"/>
      <c r="I36" s="264"/>
      <c r="J36" s="264"/>
      <c r="K36" s="860">
        <f>SQRT($C$35^2+$G$41^2)</f>
        <v>1333</v>
      </c>
      <c r="L36" s="860"/>
      <c r="M36" s="264"/>
      <c r="N36" s="264"/>
      <c r="O36" s="264"/>
      <c r="P36" s="264"/>
      <c r="Q36" s="68"/>
      <c r="R36" s="264"/>
      <c r="S36" s="264"/>
      <c r="T36" s="264"/>
      <c r="U36" s="264"/>
      <c r="V36" s="264"/>
      <c r="W36" s="264"/>
      <c r="X36" s="384"/>
      <c r="Y36" s="264"/>
      <c r="Z36" s="264"/>
      <c r="AA36" s="264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</row>
    <row r="37" spans="1:42" s="22" customFormat="1" ht="18" customHeight="1">
      <c r="A37" s="264"/>
      <c r="B37" s="873">
        <f>'朝顔'!$C$12-$C$30</f>
        <v>2450</v>
      </c>
      <c r="C37" s="876"/>
      <c r="D37" s="395"/>
      <c r="E37" s="872">
        <f>'朝顔'!$J$2*$C$30/'朝顔'!$C$12</f>
        <v>493</v>
      </c>
      <c r="F37" s="872"/>
      <c r="G37" s="264"/>
      <c r="H37" s="264"/>
      <c r="I37" s="264"/>
      <c r="J37" s="264"/>
      <c r="K37" s="264"/>
      <c r="L37" s="264"/>
      <c r="M37" s="264"/>
      <c r="N37" s="385" t="s">
        <v>70</v>
      </c>
      <c r="O37" s="385"/>
      <c r="P37" s="385"/>
      <c r="Q37" s="386"/>
      <c r="R37" s="264"/>
      <c r="S37" s="290"/>
      <c r="T37" s="264"/>
      <c r="U37" s="264"/>
      <c r="V37" s="264"/>
      <c r="W37" s="264"/>
      <c r="X37" s="384"/>
      <c r="Y37" s="264"/>
      <c r="Z37" s="264"/>
      <c r="AA37" s="264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</row>
    <row r="38" spans="1:42" s="22" customFormat="1" ht="18" customHeight="1">
      <c r="A38" s="264"/>
      <c r="B38" s="874"/>
      <c r="C38" s="867" t="s">
        <v>457</v>
      </c>
      <c r="D38" s="283"/>
      <c r="E38" s="264"/>
      <c r="F38" s="264"/>
      <c r="G38" s="264"/>
      <c r="H38" s="264"/>
      <c r="I38" s="264"/>
      <c r="J38" s="264"/>
      <c r="K38" s="264"/>
      <c r="L38" s="264"/>
      <c r="M38" s="264"/>
      <c r="N38" s="264" t="s">
        <v>222</v>
      </c>
      <c r="O38" s="853">
        <f>'朝顔チェーン'!$U$28</f>
        <v>1000</v>
      </c>
      <c r="P38" s="853"/>
      <c r="Q38" s="264"/>
      <c r="R38" s="264"/>
      <c r="S38" s="264"/>
      <c r="T38" s="264"/>
      <c r="U38" s="264"/>
      <c r="V38" s="264"/>
      <c r="W38" s="264"/>
      <c r="X38" s="384"/>
      <c r="Y38" s="264"/>
      <c r="Z38" s="264"/>
      <c r="AA38" s="264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</row>
    <row r="39" spans="1:42" s="22" customFormat="1" ht="18" customHeight="1">
      <c r="A39" s="264"/>
      <c r="B39" s="874"/>
      <c r="C39" s="867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68"/>
      <c r="R39" s="264"/>
      <c r="S39" s="264"/>
      <c r="T39" s="264"/>
      <c r="U39" s="264"/>
      <c r="V39" s="264"/>
      <c r="W39" s="264"/>
      <c r="X39" s="384"/>
      <c r="Y39" s="264"/>
      <c r="Z39" s="264"/>
      <c r="AA39" s="264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</row>
    <row r="40" spans="1:42" s="22" customFormat="1" ht="18" customHeight="1">
      <c r="A40" s="264"/>
      <c r="B40" s="874"/>
      <c r="C40" s="385" t="s">
        <v>196</v>
      </c>
      <c r="D40" s="385"/>
      <c r="E40" s="385"/>
      <c r="F40" s="384"/>
      <c r="G40" s="264"/>
      <c r="H40" s="264"/>
      <c r="I40" s="264"/>
      <c r="J40" s="264"/>
      <c r="K40" s="264"/>
      <c r="L40" s="264"/>
      <c r="M40" s="264"/>
      <c r="N40" s="264"/>
      <c r="O40" s="385" t="s">
        <v>223</v>
      </c>
      <c r="P40" s="385"/>
      <c r="Q40" s="385"/>
      <c r="R40" s="264"/>
      <c r="S40" s="264"/>
      <c r="T40" s="264"/>
      <c r="U40" s="264"/>
      <c r="V40" s="264"/>
      <c r="W40" s="264"/>
      <c r="X40" s="384"/>
      <c r="Y40" s="264"/>
      <c r="Z40" s="264"/>
      <c r="AA40" s="264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</row>
    <row r="41" spans="1:42" s="22" customFormat="1" ht="18" customHeight="1">
      <c r="A41" s="264"/>
      <c r="B41" s="264"/>
      <c r="C41" s="385" t="s">
        <v>197</v>
      </c>
      <c r="D41" s="385"/>
      <c r="E41" s="385"/>
      <c r="F41" s="264"/>
      <c r="G41" s="872">
        <f>'朝顔'!$J$2*$C$35/'朝顔'!$C$12</f>
        <v>507</v>
      </c>
      <c r="H41" s="872"/>
      <c r="I41" s="264"/>
      <c r="J41" s="264"/>
      <c r="K41" s="264"/>
      <c r="L41" s="264"/>
      <c r="M41" s="264"/>
      <c r="N41" s="264"/>
      <c r="O41" s="264" t="s">
        <v>224</v>
      </c>
      <c r="P41" s="853">
        <f>'朝顔'!$P$6</f>
        <v>1800</v>
      </c>
      <c r="Q41" s="853"/>
      <c r="R41" s="264"/>
      <c r="S41" s="264"/>
      <c r="T41" s="264"/>
      <c r="U41" s="264"/>
      <c r="V41" s="264"/>
      <c r="W41" s="264"/>
      <c r="X41" s="384"/>
      <c r="Y41" s="264"/>
      <c r="Z41" s="264"/>
      <c r="AA41" s="264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</row>
    <row r="42" spans="1:42" s="22" customFormat="1" ht="18" customHeight="1">
      <c r="A42" s="2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68"/>
      <c r="R42" s="264"/>
      <c r="S42" s="264"/>
      <c r="T42" s="264"/>
      <c r="U42" s="264"/>
      <c r="V42" s="264"/>
      <c r="W42" s="264"/>
      <c r="X42" s="384"/>
      <c r="Y42" s="264"/>
      <c r="Z42" s="264"/>
      <c r="AA42" s="264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</row>
    <row r="43" spans="1:42" s="22" customFormat="1" ht="18" customHeight="1">
      <c r="A43" s="2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68"/>
      <c r="R43" s="264"/>
      <c r="S43" s="264"/>
      <c r="T43" s="264"/>
      <c r="U43" s="264"/>
      <c r="V43" s="264"/>
      <c r="W43" s="264"/>
      <c r="X43" s="384"/>
      <c r="Y43" s="264"/>
      <c r="Z43" s="264"/>
      <c r="AA43" s="264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</row>
    <row r="44" spans="1:42" s="22" customFormat="1" ht="18" customHeight="1">
      <c r="A44" s="2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68"/>
      <c r="R44" s="264"/>
      <c r="S44" s="264"/>
      <c r="T44" s="264"/>
      <c r="U44" s="264"/>
      <c r="V44" s="264"/>
      <c r="W44" s="264"/>
      <c r="X44" s="384"/>
      <c r="Y44" s="264"/>
      <c r="Z44" s="264"/>
      <c r="AA44" s="264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</row>
    <row r="45" spans="1:42" s="22" customFormat="1" ht="18" customHeight="1">
      <c r="A45" s="2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68"/>
      <c r="R45" s="264"/>
      <c r="S45" s="264"/>
      <c r="T45" s="264"/>
      <c r="U45" s="861" t="s">
        <v>225</v>
      </c>
      <c r="V45" s="861"/>
      <c r="W45" s="860">
        <f>$O$38</f>
        <v>1000</v>
      </c>
      <c r="X45" s="860"/>
      <c r="Y45" s="384"/>
      <c r="Z45" s="264"/>
      <c r="AA45" s="264"/>
      <c r="AB45" s="64"/>
      <c r="AC45" s="72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</row>
    <row r="46" spans="1:42" s="22" customFormat="1" ht="18" customHeight="1">
      <c r="A46" s="264"/>
      <c r="B46" s="264"/>
      <c r="C46" s="38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397"/>
      <c r="Q46" s="68"/>
      <c r="R46" s="398"/>
      <c r="S46" s="398"/>
      <c r="T46" s="264"/>
      <c r="U46" s="264"/>
      <c r="V46" s="264"/>
      <c r="W46" s="264"/>
      <c r="X46" s="264"/>
      <c r="Y46" s="264"/>
      <c r="Z46" s="264"/>
      <c r="AA46" s="264"/>
      <c r="AB46" s="64"/>
      <c r="AC46" s="72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</row>
    <row r="47" spans="1:42" s="22" customFormat="1" ht="18" customHeight="1">
      <c r="A47" s="72"/>
      <c r="B47" s="72"/>
      <c r="C47" s="335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43"/>
      <c r="Q47" s="64"/>
      <c r="R47" s="112"/>
      <c r="S47" s="112"/>
      <c r="T47" s="72"/>
      <c r="U47" s="72"/>
      <c r="V47" s="72"/>
      <c r="W47" s="72"/>
      <c r="X47" s="72"/>
      <c r="Y47" s="72"/>
      <c r="Z47" s="72"/>
      <c r="AA47" s="72"/>
      <c r="AB47" s="64"/>
      <c r="AC47" s="72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</row>
    <row r="48" spans="1:42" s="22" customFormat="1" ht="18" customHeight="1">
      <c r="A48" s="72"/>
      <c r="B48" s="72"/>
      <c r="C48" s="335"/>
      <c r="D48" s="72"/>
      <c r="E48" s="72"/>
      <c r="F48" s="72"/>
      <c r="G48" s="72"/>
      <c r="H48" s="72"/>
      <c r="I48" s="72"/>
      <c r="J48" s="72"/>
      <c r="K48" s="72"/>
      <c r="L48" s="79"/>
      <c r="M48" s="43"/>
      <c r="N48" s="112"/>
      <c r="O48" s="11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64"/>
      <c r="AC48" s="72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</row>
    <row r="49" spans="1:42" s="22" customFormat="1" ht="18" customHeight="1">
      <c r="A49" s="72"/>
      <c r="B49" s="72"/>
      <c r="C49" s="72" t="s">
        <v>226</v>
      </c>
      <c r="D49" s="72"/>
      <c r="E49" s="72"/>
      <c r="F49" s="340" t="s">
        <v>545</v>
      </c>
      <c r="G49" s="72" t="s">
        <v>552</v>
      </c>
      <c r="H49" s="72"/>
      <c r="I49" s="72"/>
      <c r="J49" s="72"/>
      <c r="K49" s="544">
        <f>'朝顔'!$T$65</f>
        <v>334</v>
      </c>
      <c r="L49" s="829"/>
      <c r="M49" s="340" t="s">
        <v>418</v>
      </c>
      <c r="N49" s="814">
        <f>$W$45/1000</f>
        <v>1</v>
      </c>
      <c r="O49" s="814"/>
      <c r="P49" s="340" t="s">
        <v>111</v>
      </c>
      <c r="Q49" s="544">
        <f>$K$49*$N$49</f>
        <v>334</v>
      </c>
      <c r="R49" s="544"/>
      <c r="S49" s="72" t="s">
        <v>458</v>
      </c>
      <c r="T49" s="72"/>
      <c r="U49" s="72"/>
      <c r="V49" s="72"/>
      <c r="W49" s="72"/>
      <c r="X49" s="72"/>
      <c r="Y49" s="72"/>
      <c r="Z49" s="72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</row>
    <row r="50" spans="1:42" s="22" customFormat="1" ht="18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39"/>
      <c r="L50" s="356"/>
      <c r="M50" s="340"/>
      <c r="N50" s="348"/>
      <c r="O50" s="348"/>
      <c r="P50" s="340"/>
      <c r="Q50" s="39"/>
      <c r="R50" s="39"/>
      <c r="S50" s="72"/>
      <c r="T50" s="72"/>
      <c r="U50" s="72"/>
      <c r="V50" s="72"/>
      <c r="W50" s="72"/>
      <c r="X50" s="72"/>
      <c r="Y50" s="72"/>
      <c r="Z50" s="72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</row>
    <row r="51" spans="1:42" s="22" customFormat="1" ht="18" customHeight="1">
      <c r="A51" s="362"/>
      <c r="B51" s="362"/>
      <c r="C51" s="362"/>
      <c r="D51" s="362"/>
      <c r="E51" s="362"/>
      <c r="F51" s="832" t="s">
        <v>554</v>
      </c>
      <c r="G51" s="832" t="s">
        <v>111</v>
      </c>
      <c r="H51" s="838">
        <f>$Q$49</f>
        <v>334</v>
      </c>
      <c r="I51" s="839"/>
      <c r="J51" s="832" t="s">
        <v>418</v>
      </c>
      <c r="K51" s="837">
        <f>$C$35</f>
        <v>1233</v>
      </c>
      <c r="L51" s="837"/>
      <c r="M51" s="832" t="s">
        <v>111</v>
      </c>
      <c r="N51" s="838">
        <f>$H$51*$K$51/$K$52</f>
        <v>309</v>
      </c>
      <c r="O51" s="838"/>
      <c r="P51" s="846" t="s">
        <v>458</v>
      </c>
      <c r="Q51" s="846"/>
      <c r="R51" s="362"/>
      <c r="S51" s="362"/>
      <c r="T51" s="362"/>
      <c r="U51" s="362"/>
      <c r="V51" s="362"/>
      <c r="W51" s="362"/>
      <c r="X51" s="65"/>
      <c r="Y51" s="362"/>
      <c r="Z51" s="367"/>
      <c r="AA51" s="64"/>
      <c r="AB51" s="72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</row>
    <row r="52" spans="1:42" s="22" customFormat="1" ht="18" customHeight="1">
      <c r="A52" s="362"/>
      <c r="B52" s="362"/>
      <c r="C52" s="362"/>
      <c r="D52" s="362"/>
      <c r="E52" s="362"/>
      <c r="F52" s="832"/>
      <c r="G52" s="832"/>
      <c r="H52" s="840"/>
      <c r="I52" s="840"/>
      <c r="J52" s="832"/>
      <c r="K52" s="836">
        <f>$K$36</f>
        <v>1333</v>
      </c>
      <c r="L52" s="836"/>
      <c r="M52" s="832"/>
      <c r="N52" s="840"/>
      <c r="O52" s="840"/>
      <c r="P52" s="846"/>
      <c r="Q52" s="846"/>
      <c r="R52" s="362"/>
      <c r="S52" s="362"/>
      <c r="T52" s="362"/>
      <c r="U52" s="362"/>
      <c r="V52" s="362"/>
      <c r="W52" s="362"/>
      <c r="X52" s="65"/>
      <c r="Y52" s="362"/>
      <c r="Z52" s="367"/>
      <c r="AA52" s="64"/>
      <c r="AB52" s="72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</row>
    <row r="53" spans="1:42" s="22" customFormat="1" ht="18" customHeight="1">
      <c r="A53" s="362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65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64"/>
      <c r="AB53" s="72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</row>
    <row r="54" spans="1:42" s="22" customFormat="1" ht="18" customHeight="1">
      <c r="A54" s="72"/>
      <c r="B54" s="72"/>
      <c r="C54" s="72"/>
      <c r="D54" s="72"/>
      <c r="E54" s="72"/>
      <c r="F54" s="340" t="s">
        <v>556</v>
      </c>
      <c r="G54" s="72" t="s">
        <v>557</v>
      </c>
      <c r="H54" s="72"/>
      <c r="I54" s="72"/>
      <c r="J54" s="72"/>
      <c r="K54" s="544">
        <f>$T$28</f>
        <v>94</v>
      </c>
      <c r="L54" s="829"/>
      <c r="M54" s="340" t="s">
        <v>418</v>
      </c>
      <c r="N54" s="814">
        <f>$W$45/1000</f>
        <v>1</v>
      </c>
      <c r="O54" s="814"/>
      <c r="P54" s="340" t="s">
        <v>111</v>
      </c>
      <c r="Q54" s="544">
        <f>$K$54*$N$54</f>
        <v>94</v>
      </c>
      <c r="R54" s="544"/>
      <c r="S54" s="72" t="s">
        <v>458</v>
      </c>
      <c r="T54" s="72"/>
      <c r="U54" s="72"/>
      <c r="V54" s="72"/>
      <c r="W54" s="72"/>
      <c r="X54" s="72"/>
      <c r="Y54" s="72"/>
      <c r="Z54" s="72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</row>
    <row r="55" spans="1:42" s="22" customFormat="1" ht="18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39"/>
      <c r="L55" s="356"/>
      <c r="M55" s="340"/>
      <c r="N55" s="348"/>
      <c r="O55" s="348"/>
      <c r="P55" s="340"/>
      <c r="Q55" s="39"/>
      <c r="R55" s="39"/>
      <c r="S55" s="72"/>
      <c r="T55" s="72"/>
      <c r="U55" s="72"/>
      <c r="V55" s="72"/>
      <c r="W55" s="72"/>
      <c r="X55" s="72"/>
      <c r="Y55" s="72"/>
      <c r="Z55" s="72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</row>
    <row r="56" spans="1:42" s="22" customFormat="1" ht="18" customHeight="1">
      <c r="A56" s="362"/>
      <c r="B56" s="362"/>
      <c r="C56" s="362"/>
      <c r="D56" s="362"/>
      <c r="E56" s="362"/>
      <c r="F56" s="832" t="s">
        <v>555</v>
      </c>
      <c r="G56" s="832" t="s">
        <v>111</v>
      </c>
      <c r="H56" s="838">
        <f>$Q$54</f>
        <v>94</v>
      </c>
      <c r="I56" s="839"/>
      <c r="J56" s="832" t="s">
        <v>418</v>
      </c>
      <c r="K56" s="837">
        <f>$C$30</f>
        <v>1200</v>
      </c>
      <c r="L56" s="837"/>
      <c r="M56" s="832" t="s">
        <v>111</v>
      </c>
      <c r="N56" s="838">
        <f>$H$56*$K$56/$K$57</f>
        <v>87</v>
      </c>
      <c r="O56" s="838"/>
      <c r="P56" s="846" t="s">
        <v>420</v>
      </c>
      <c r="Q56" s="846"/>
      <c r="R56" s="362"/>
      <c r="S56" s="362"/>
      <c r="T56" s="362"/>
      <c r="U56" s="362"/>
      <c r="V56" s="362"/>
      <c r="W56" s="362"/>
      <c r="X56" s="65"/>
      <c r="Y56" s="362"/>
      <c r="Z56" s="367"/>
      <c r="AA56" s="64"/>
      <c r="AB56" s="72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</row>
    <row r="57" spans="1:42" s="22" customFormat="1" ht="18" customHeight="1">
      <c r="A57" s="362"/>
      <c r="B57" s="362"/>
      <c r="C57" s="362"/>
      <c r="D57" s="362"/>
      <c r="E57" s="362"/>
      <c r="F57" s="832"/>
      <c r="G57" s="832"/>
      <c r="H57" s="840"/>
      <c r="I57" s="840"/>
      <c r="J57" s="832"/>
      <c r="K57" s="836">
        <f>$I$32</f>
        <v>1297</v>
      </c>
      <c r="L57" s="836"/>
      <c r="M57" s="832"/>
      <c r="N57" s="840"/>
      <c r="O57" s="840"/>
      <c r="P57" s="846"/>
      <c r="Q57" s="846"/>
      <c r="R57" s="362"/>
      <c r="S57" s="362"/>
      <c r="T57" s="362"/>
      <c r="U57" s="362"/>
      <c r="V57" s="362"/>
      <c r="W57" s="362"/>
      <c r="X57" s="65"/>
      <c r="Y57" s="362"/>
      <c r="Z57" s="367"/>
      <c r="AA57" s="64"/>
      <c r="AB57" s="72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</row>
    <row r="58" spans="1:42" s="22" customFormat="1" ht="18" customHeight="1">
      <c r="A58" s="362"/>
      <c r="B58" s="362"/>
      <c r="C58" s="362"/>
      <c r="D58" s="362"/>
      <c r="E58" s="362"/>
      <c r="F58" s="362"/>
      <c r="G58" s="362"/>
      <c r="H58" s="368"/>
      <c r="I58" s="368"/>
      <c r="J58" s="364"/>
      <c r="K58" s="365"/>
      <c r="L58" s="365"/>
      <c r="M58" s="364"/>
      <c r="N58" s="368"/>
      <c r="O58" s="368"/>
      <c r="P58" s="366"/>
      <c r="Q58" s="366"/>
      <c r="R58" s="362"/>
      <c r="S58" s="362"/>
      <c r="T58" s="362"/>
      <c r="U58" s="362"/>
      <c r="V58" s="362"/>
      <c r="W58" s="362"/>
      <c r="X58" s="65"/>
      <c r="Y58" s="362"/>
      <c r="Z58" s="367"/>
      <c r="AA58" s="64"/>
      <c r="AB58" s="72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</row>
    <row r="59" spans="1:42" s="22" customFormat="1" ht="18" customHeight="1">
      <c r="A59" s="362"/>
      <c r="B59" s="362"/>
      <c r="C59" s="362"/>
      <c r="D59" s="362"/>
      <c r="E59" s="362"/>
      <c r="F59" s="362"/>
      <c r="G59" s="362"/>
      <c r="H59" s="368"/>
      <c r="I59" s="368"/>
      <c r="J59" s="364"/>
      <c r="K59" s="365"/>
      <c r="L59" s="365"/>
      <c r="M59" s="364"/>
      <c r="N59" s="368"/>
      <c r="O59" s="368"/>
      <c r="P59" s="366"/>
      <c r="Q59" s="366"/>
      <c r="R59" s="362"/>
      <c r="S59" s="362"/>
      <c r="T59" s="362"/>
      <c r="U59" s="362"/>
      <c r="V59" s="362"/>
      <c r="W59" s="362"/>
      <c r="X59" s="65"/>
      <c r="Y59" s="362"/>
      <c r="Z59" s="367"/>
      <c r="AA59" s="64"/>
      <c r="AB59" s="72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</row>
    <row r="60" spans="1:42" s="22" customFormat="1" ht="18" customHeight="1">
      <c r="A60" s="362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65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64"/>
      <c r="AB60" s="72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</row>
    <row r="61" spans="1:42" s="22" customFormat="1" ht="18" customHeight="1">
      <c r="A61" s="362"/>
      <c r="B61" s="831" t="s">
        <v>518</v>
      </c>
      <c r="C61" s="831" t="s">
        <v>111</v>
      </c>
      <c r="D61" s="405" t="s">
        <v>558</v>
      </c>
      <c r="E61" s="406"/>
      <c r="F61" s="407"/>
      <c r="G61" s="407"/>
      <c r="H61" s="407"/>
      <c r="I61" s="407"/>
      <c r="J61" s="407"/>
      <c r="K61" s="407"/>
      <c r="L61" s="407"/>
      <c r="M61" s="407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65"/>
      <c r="Y61" s="362"/>
      <c r="Z61" s="64"/>
      <c r="AA61" s="72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</row>
    <row r="62" spans="1:42" s="22" customFormat="1" ht="18" customHeight="1">
      <c r="A62" s="362"/>
      <c r="B62" s="831"/>
      <c r="C62" s="831"/>
      <c r="D62" s="408"/>
      <c r="E62" s="408"/>
      <c r="F62" s="373"/>
      <c r="G62" s="408"/>
      <c r="H62" s="373">
        <v>2</v>
      </c>
      <c r="I62" s="373"/>
      <c r="J62" s="373"/>
      <c r="K62" s="373"/>
      <c r="L62" s="373"/>
      <c r="M62" s="373"/>
      <c r="N62" s="362"/>
      <c r="O62" s="362"/>
      <c r="P62" s="362"/>
      <c r="Q62" s="362"/>
      <c r="R62" s="65"/>
      <c r="S62" s="362"/>
      <c r="T62" s="362"/>
      <c r="U62" s="362"/>
      <c r="V62" s="362"/>
      <c r="W62" s="362"/>
      <c r="X62" s="362"/>
      <c r="Y62" s="362"/>
      <c r="Z62" s="64"/>
      <c r="AA62" s="72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</row>
    <row r="63" spans="1:42" s="22" customFormat="1" ht="18" customHeight="1">
      <c r="A63" s="362"/>
      <c r="B63" s="369"/>
      <c r="C63" s="369"/>
      <c r="D63" s="369"/>
      <c r="E63" s="369"/>
      <c r="F63" s="362"/>
      <c r="G63" s="369"/>
      <c r="H63" s="362"/>
      <c r="I63" s="362"/>
      <c r="J63" s="362"/>
      <c r="K63" s="362"/>
      <c r="L63" s="362"/>
      <c r="M63" s="364"/>
      <c r="N63" s="362"/>
      <c r="O63" s="362"/>
      <c r="P63" s="364"/>
      <c r="Q63" s="362"/>
      <c r="R63" s="65"/>
      <c r="S63" s="362"/>
      <c r="T63" s="364"/>
      <c r="U63" s="365"/>
      <c r="V63" s="365"/>
      <c r="W63" s="362"/>
      <c r="X63" s="362"/>
      <c r="Y63" s="362"/>
      <c r="Z63" s="64"/>
      <c r="AA63" s="72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</row>
    <row r="64" spans="1:42" s="22" customFormat="1" ht="18" customHeight="1">
      <c r="A64" s="362"/>
      <c r="B64" s="369"/>
      <c r="C64" s="831" t="s">
        <v>422</v>
      </c>
      <c r="D64" s="834">
        <f>$Q$49</f>
        <v>334</v>
      </c>
      <c r="E64" s="834"/>
      <c r="F64" s="371" t="s">
        <v>418</v>
      </c>
      <c r="G64" s="835">
        <f>$K$36/1000</f>
        <v>1.333</v>
      </c>
      <c r="H64" s="835"/>
      <c r="I64" s="372" t="s">
        <v>423</v>
      </c>
      <c r="J64" s="371" t="s">
        <v>459</v>
      </c>
      <c r="K64" s="371">
        <v>2</v>
      </c>
      <c r="L64" s="371" t="s">
        <v>418</v>
      </c>
      <c r="M64" s="834">
        <f>$N$56</f>
        <v>87</v>
      </c>
      <c r="N64" s="834"/>
      <c r="O64" s="371" t="s">
        <v>418</v>
      </c>
      <c r="P64" s="835">
        <f>$K$36/1000</f>
        <v>1.333</v>
      </c>
      <c r="Q64" s="835"/>
      <c r="R64" s="371" t="s">
        <v>418</v>
      </c>
      <c r="S64" s="835">
        <f>$I$32/1000</f>
        <v>1.297</v>
      </c>
      <c r="T64" s="835"/>
      <c r="U64" s="371" t="s">
        <v>459</v>
      </c>
      <c r="V64" s="834">
        <f>$N$56</f>
        <v>87</v>
      </c>
      <c r="W64" s="834"/>
      <c r="X64" s="371" t="s">
        <v>418</v>
      </c>
      <c r="Y64" s="835">
        <f>$I$32/1000</f>
        <v>1.297</v>
      </c>
      <c r="Z64" s="835"/>
      <c r="AA64" s="372" t="s">
        <v>423</v>
      </c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</row>
    <row r="65" spans="1:42" s="22" customFormat="1" ht="18" customHeight="1">
      <c r="A65" s="362"/>
      <c r="B65" s="369"/>
      <c r="C65" s="831"/>
      <c r="D65" s="369"/>
      <c r="E65" s="369"/>
      <c r="F65" s="362"/>
      <c r="G65" s="369"/>
      <c r="H65" s="362"/>
      <c r="I65" s="362"/>
      <c r="J65" s="362"/>
      <c r="K65" s="362"/>
      <c r="L65" s="362"/>
      <c r="M65" s="362"/>
      <c r="N65" s="362"/>
      <c r="O65" s="373">
        <v>2</v>
      </c>
      <c r="P65" s="362"/>
      <c r="Q65" s="362"/>
      <c r="R65" s="65"/>
      <c r="S65" s="362"/>
      <c r="T65" s="362"/>
      <c r="U65" s="409"/>
      <c r="V65" s="409"/>
      <c r="W65" s="362"/>
      <c r="X65" s="362"/>
      <c r="Y65" s="362"/>
      <c r="Z65" s="64"/>
      <c r="AA65" s="72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</row>
    <row r="66" spans="1:42" s="22" customFormat="1" ht="18" customHeight="1">
      <c r="A66" s="362"/>
      <c r="B66" s="369"/>
      <c r="C66" s="369"/>
      <c r="D66" s="369"/>
      <c r="E66" s="369"/>
      <c r="F66" s="362"/>
      <c r="G66" s="369"/>
      <c r="H66" s="362"/>
      <c r="I66" s="362"/>
      <c r="J66" s="362"/>
      <c r="K66" s="362"/>
      <c r="L66" s="362"/>
      <c r="M66" s="364"/>
      <c r="N66" s="362"/>
      <c r="O66" s="362"/>
      <c r="P66" s="364"/>
      <c r="Q66" s="362"/>
      <c r="R66" s="65"/>
      <c r="S66" s="362"/>
      <c r="T66" s="364"/>
      <c r="U66" s="365"/>
      <c r="V66" s="365"/>
      <c r="W66" s="362"/>
      <c r="X66" s="362"/>
      <c r="Y66" s="362"/>
      <c r="Z66" s="64"/>
      <c r="AA66" s="72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</row>
    <row r="67" spans="1:42" s="22" customFormat="1" ht="18" customHeight="1">
      <c r="A67" s="362"/>
      <c r="B67" s="369"/>
      <c r="C67" s="369" t="s">
        <v>422</v>
      </c>
      <c r="D67" s="838">
        <f>($D$64*$G$64^2+$K$64*$M$64*$P$64*$S$64+$V$64*$Y$64^2)/2</f>
        <v>520</v>
      </c>
      <c r="E67" s="838"/>
      <c r="F67" s="366" t="s">
        <v>460</v>
      </c>
      <c r="G67" s="362"/>
      <c r="H67" s="362"/>
      <c r="I67" s="364"/>
      <c r="J67" s="362"/>
      <c r="K67" s="65"/>
      <c r="L67" s="362"/>
      <c r="M67" s="364"/>
      <c r="N67" s="374"/>
      <c r="O67" s="374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64"/>
      <c r="AA67" s="72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</row>
    <row r="68" spans="1:42" s="22" customFormat="1" ht="18" customHeight="1">
      <c r="A68" s="362"/>
      <c r="B68" s="369"/>
      <c r="C68" s="369"/>
      <c r="D68" s="369"/>
      <c r="E68" s="369"/>
      <c r="F68" s="364"/>
      <c r="G68" s="362"/>
      <c r="H68" s="362"/>
      <c r="I68" s="364"/>
      <c r="J68" s="362"/>
      <c r="K68" s="65"/>
      <c r="L68" s="362"/>
      <c r="M68" s="364"/>
      <c r="N68" s="374"/>
      <c r="O68" s="374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64"/>
      <c r="AA68" s="72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</row>
    <row r="69" spans="1:42" s="22" customFormat="1" ht="18" customHeight="1">
      <c r="A69" s="362"/>
      <c r="B69" s="369"/>
      <c r="C69" s="369"/>
      <c r="D69" s="369"/>
      <c r="E69" s="369"/>
      <c r="F69" s="364"/>
      <c r="G69" s="362"/>
      <c r="H69" s="362"/>
      <c r="I69" s="364"/>
      <c r="J69" s="362"/>
      <c r="K69" s="65"/>
      <c r="L69" s="362"/>
      <c r="M69" s="364"/>
      <c r="N69" s="374"/>
      <c r="O69" s="374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64"/>
      <c r="AA69" s="72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</row>
    <row r="70" spans="1:42" s="22" customFormat="1" ht="18" customHeight="1">
      <c r="A70" s="362"/>
      <c r="B70" s="831" t="s">
        <v>519</v>
      </c>
      <c r="C70" s="831" t="s">
        <v>111</v>
      </c>
      <c r="D70" s="844" t="s">
        <v>425</v>
      </c>
      <c r="E70" s="844"/>
      <c r="F70" s="831" t="s">
        <v>422</v>
      </c>
      <c r="G70" s="837">
        <f>ROUND($D$67,0)*1000</f>
        <v>520000</v>
      </c>
      <c r="H70" s="837"/>
      <c r="I70" s="837"/>
      <c r="J70" s="516"/>
      <c r="K70" s="831" t="s">
        <v>422</v>
      </c>
      <c r="L70" s="852">
        <f>$G$70/$G$71</f>
        <v>26</v>
      </c>
      <c r="M70" s="852"/>
      <c r="N70" s="851" t="s">
        <v>434</v>
      </c>
      <c r="O70" s="851"/>
      <c r="P70" s="831" t="str">
        <f>IF($L$70&lt;=$D$73,"＜","＞")</f>
        <v>＜</v>
      </c>
      <c r="Q70" s="848" t="s">
        <v>213</v>
      </c>
      <c r="R70" s="848"/>
      <c r="S70" s="849"/>
      <c r="T70" s="850">
        <v>1.3</v>
      </c>
      <c r="U70" s="850"/>
      <c r="V70" s="832" t="s">
        <v>418</v>
      </c>
      <c r="W70" s="847">
        <f>'使用材一覧'!$P$17</f>
        <v>165</v>
      </c>
      <c r="X70" s="847"/>
      <c r="Y70" s="369"/>
      <c r="Z70" s="64"/>
      <c r="AA70" s="72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</row>
    <row r="71" spans="1:42" s="22" customFormat="1" ht="18" customHeight="1">
      <c r="A71" s="362"/>
      <c r="B71" s="831"/>
      <c r="C71" s="831"/>
      <c r="D71" s="831" t="s">
        <v>427</v>
      </c>
      <c r="E71" s="831"/>
      <c r="F71" s="831"/>
      <c r="G71" s="845">
        <f>'使用材一覧'!$P$15</f>
        <v>20100</v>
      </c>
      <c r="H71" s="845"/>
      <c r="I71" s="845"/>
      <c r="J71" s="813"/>
      <c r="K71" s="831"/>
      <c r="L71" s="852"/>
      <c r="M71" s="852"/>
      <c r="N71" s="851"/>
      <c r="O71" s="851"/>
      <c r="P71" s="831"/>
      <c r="Q71" s="848"/>
      <c r="R71" s="848"/>
      <c r="S71" s="849"/>
      <c r="T71" s="850"/>
      <c r="U71" s="850"/>
      <c r="V71" s="832"/>
      <c r="W71" s="847"/>
      <c r="X71" s="847"/>
      <c r="Y71" s="369"/>
      <c r="Z71" s="64"/>
      <c r="AA71" s="72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</row>
    <row r="72" spans="1:42" s="22" customFormat="1" ht="18" customHeight="1">
      <c r="A72" s="362"/>
      <c r="B72" s="369"/>
      <c r="C72" s="369"/>
      <c r="D72" s="369"/>
      <c r="E72" s="369"/>
      <c r="F72" s="364"/>
      <c r="G72" s="362"/>
      <c r="H72" s="362"/>
      <c r="I72" s="364"/>
      <c r="J72" s="362"/>
      <c r="K72" s="65"/>
      <c r="L72" s="362"/>
      <c r="M72" s="364"/>
      <c r="N72" s="374"/>
      <c r="O72" s="374"/>
      <c r="P72" s="362"/>
      <c r="Q72" s="362"/>
      <c r="R72" s="362"/>
      <c r="S72" s="362"/>
      <c r="T72" s="362"/>
      <c r="U72" s="362"/>
      <c r="V72" s="378"/>
      <c r="W72" s="378"/>
      <c r="X72" s="378"/>
      <c r="Y72" s="378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</row>
    <row r="73" spans="1:42" ht="18" customHeight="1">
      <c r="A73" s="362"/>
      <c r="B73" s="362"/>
      <c r="C73" s="368" t="s">
        <v>422</v>
      </c>
      <c r="D73" s="841">
        <f>ROUNDDOWN($T$70*$W$70,0)</f>
        <v>214</v>
      </c>
      <c r="E73" s="841"/>
      <c r="F73" s="362" t="s">
        <v>428</v>
      </c>
      <c r="G73" s="362"/>
      <c r="H73" s="362"/>
      <c r="I73" s="842">
        <f>IF($L$70&lt;=$D$73,"","NG")</f>
      </c>
      <c r="J73" s="843"/>
      <c r="K73" s="843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78"/>
      <c r="W73" s="378"/>
      <c r="X73" s="378"/>
      <c r="Y73" s="378"/>
      <c r="Z73" s="36"/>
      <c r="AA73" s="36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</row>
    <row r="74" spans="1:42" ht="18" customHeight="1">
      <c r="A74" s="362"/>
      <c r="B74" s="368"/>
      <c r="C74" s="368"/>
      <c r="D74" s="368"/>
      <c r="E74" s="379"/>
      <c r="F74" s="374"/>
      <c r="G74" s="364"/>
      <c r="H74" s="380"/>
      <c r="I74" s="380"/>
      <c r="J74" s="380"/>
      <c r="K74" s="366"/>
      <c r="L74" s="366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"/>
      <c r="AA74" s="36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</row>
    <row r="75" spans="1:42" ht="18" customHeight="1">
      <c r="A75" s="410"/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  <c r="Z75" s="410"/>
      <c r="AA75" s="36"/>
      <c r="AB75" s="36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</row>
    <row r="76" spans="1:42" ht="18" customHeight="1">
      <c r="A76" s="410"/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10"/>
      <c r="Z76" s="410"/>
      <c r="AA76" s="410"/>
      <c r="AB76" s="36"/>
      <c r="AC76" s="36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</row>
    <row r="77" spans="1:42" ht="18" customHeight="1">
      <c r="A77" s="410"/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36"/>
      <c r="AC77" s="36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</row>
    <row r="78" spans="1:42" ht="18" customHeight="1">
      <c r="A78" s="410"/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36"/>
      <c r="AC78" s="36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</row>
    <row r="79" spans="1:42" ht="18" customHeight="1">
      <c r="A79" s="410"/>
      <c r="B79" s="410"/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36"/>
      <c r="AC79" s="36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</row>
    <row r="80" spans="1:42" ht="18" customHeight="1">
      <c r="A80" s="410"/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36"/>
      <c r="AC80" s="36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</row>
    <row r="81" spans="1:42" ht="18" customHeight="1">
      <c r="A81" s="410"/>
      <c r="B81" s="410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36"/>
      <c r="AC81" s="36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</row>
    <row r="82" spans="1:42" ht="18" customHeight="1">
      <c r="A82" s="410"/>
      <c r="B82" s="410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186"/>
      <c r="AC82" s="186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</row>
    <row r="83" spans="1:42" ht="18" customHeight="1">
      <c r="A83" s="410"/>
      <c r="B83" s="410"/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186"/>
      <c r="AC83" s="186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</row>
    <row r="84" spans="1:42" ht="18" customHeight="1">
      <c r="A84" s="411"/>
      <c r="B84" s="411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411"/>
      <c r="X84" s="411"/>
      <c r="Y84" s="411"/>
      <c r="Z84" s="411"/>
      <c r="AA84" s="411"/>
      <c r="AB84" s="186"/>
      <c r="AC84" s="186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</row>
    <row r="85" spans="1:42" ht="18" customHeight="1">
      <c r="A85" s="411"/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  <c r="T85" s="411"/>
      <c r="U85" s="411"/>
      <c r="V85" s="411"/>
      <c r="W85" s="411"/>
      <c r="X85" s="411"/>
      <c r="Y85" s="411"/>
      <c r="Z85" s="411"/>
      <c r="AA85" s="411"/>
      <c r="AB85" s="186"/>
      <c r="AC85" s="186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</row>
    <row r="86" spans="1:42" ht="13.5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</row>
    <row r="87" spans="1:42" ht="13.5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</row>
    <row r="88" spans="1:42" ht="13.5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</row>
    <row r="89" spans="1:42" ht="13.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</row>
    <row r="90" spans="1:42" ht="13.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</row>
    <row r="91" spans="1:42" ht="13.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</row>
    <row r="92" spans="1:42" ht="13.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</row>
    <row r="93" spans="1:42" ht="13.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</row>
    <row r="94" spans="1:42" ht="13.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</row>
    <row r="95" spans="1:42" ht="13.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</row>
    <row r="96" spans="1:42" ht="13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ht="13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ht="13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ht="13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ht="13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ht="13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 ht="13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 ht="13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</sheetData>
  <sheetProtection sheet="1" objects="1" scenarios="1"/>
  <mergeCells count="87">
    <mergeCell ref="Y64:Z64"/>
    <mergeCell ref="D67:E67"/>
    <mergeCell ref="L70:M71"/>
    <mergeCell ref="W70:X71"/>
    <mergeCell ref="B37:B40"/>
    <mergeCell ref="C35:C37"/>
    <mergeCell ref="P51:Q52"/>
    <mergeCell ref="P41:Q41"/>
    <mergeCell ref="O38:P38"/>
    <mergeCell ref="K49:L49"/>
    <mergeCell ref="N49:O49"/>
    <mergeCell ref="K36:L36"/>
    <mergeCell ref="E37:F37"/>
    <mergeCell ref="W45:X45"/>
    <mergeCell ref="Q49:R49"/>
    <mergeCell ref="C30:C32"/>
    <mergeCell ref="C64:C65"/>
    <mergeCell ref="G41:H41"/>
    <mergeCell ref="M51:M52"/>
    <mergeCell ref="K52:L52"/>
    <mergeCell ref="K51:L51"/>
    <mergeCell ref="M30:N30"/>
    <mergeCell ref="V64:W64"/>
    <mergeCell ref="B61:B62"/>
    <mergeCell ref="C61:C62"/>
    <mergeCell ref="Q33:S33"/>
    <mergeCell ref="D71:E71"/>
    <mergeCell ref="D64:E64"/>
    <mergeCell ref="G64:H64"/>
    <mergeCell ref="M64:N64"/>
    <mergeCell ref="P64:Q64"/>
    <mergeCell ref="N51:O52"/>
    <mergeCell ref="S64:T64"/>
    <mergeCell ref="D73:E73"/>
    <mergeCell ref="I73:K73"/>
    <mergeCell ref="D70:E70"/>
    <mergeCell ref="F70:F71"/>
    <mergeCell ref="K70:K71"/>
    <mergeCell ref="G70:J70"/>
    <mergeCell ref="G71:J71"/>
    <mergeCell ref="U45:V45"/>
    <mergeCell ref="J51:J52"/>
    <mergeCell ref="C38:C39"/>
    <mergeCell ref="N70:O71"/>
    <mergeCell ref="P70:P71"/>
    <mergeCell ref="Q70:S71"/>
    <mergeCell ref="T70:U71"/>
    <mergeCell ref="V70:V71"/>
    <mergeCell ref="N54:O54"/>
    <mergeCell ref="Q54:R54"/>
    <mergeCell ref="S12:T12"/>
    <mergeCell ref="L14:M14"/>
    <mergeCell ref="I32:J32"/>
    <mergeCell ref="T28:U28"/>
    <mergeCell ref="L16:N16"/>
    <mergeCell ref="P16:Q16"/>
    <mergeCell ref="K24:M24"/>
    <mergeCell ref="U24:W24"/>
    <mergeCell ref="C33:C34"/>
    <mergeCell ref="K56:L56"/>
    <mergeCell ref="K54:L54"/>
    <mergeCell ref="H56:I57"/>
    <mergeCell ref="J56:J57"/>
    <mergeCell ref="F56:F57"/>
    <mergeCell ref="G56:G57"/>
    <mergeCell ref="H51:I52"/>
    <mergeCell ref="K57:L57"/>
    <mergeCell ref="F7:G7"/>
    <mergeCell ref="Q28:R28"/>
    <mergeCell ref="H10:N10"/>
    <mergeCell ref="H12:J12"/>
    <mergeCell ref="L12:M12"/>
    <mergeCell ref="J28:K28"/>
    <mergeCell ref="M28:N28"/>
    <mergeCell ref="G15:H15"/>
    <mergeCell ref="G18:H18"/>
    <mergeCell ref="O12:Q12"/>
    <mergeCell ref="B70:B71"/>
    <mergeCell ref="C70:C71"/>
    <mergeCell ref="AE20:AF20"/>
    <mergeCell ref="Q21:S21"/>
    <mergeCell ref="J23:K23"/>
    <mergeCell ref="F51:F52"/>
    <mergeCell ref="G51:G52"/>
    <mergeCell ref="M56:M57"/>
    <mergeCell ref="N56:O57"/>
    <mergeCell ref="P56:Q57"/>
  </mergeCells>
  <dataValidations count="1">
    <dataValidation type="list" allowBlank="1" showInputMessage="1" showErrorMessage="1" sqref="H10:N10">
      <formula1>$AE$12:$AE$16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123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28" width="3.3984375" style="1" customWidth="1"/>
    <col min="29" max="29" width="22.09765625" style="1" customWidth="1"/>
    <col min="30" max="30" width="13.8984375" style="1" customWidth="1"/>
    <col min="31" max="31" width="12.69921875" style="1" customWidth="1"/>
    <col min="32" max="16384" width="4.69921875" style="1" customWidth="1"/>
  </cols>
  <sheetData>
    <row r="1" spans="2:35" ht="18" customHeight="1">
      <c r="B1" s="483" t="s">
        <v>807</v>
      </c>
      <c r="C1" s="36"/>
      <c r="D1" s="50"/>
      <c r="E1" s="36"/>
      <c r="F1" s="65" t="str">
        <f>'使用材一覧'!$L$12</f>
        <v>□75×3.2(STKR400)</v>
      </c>
      <c r="G1" s="36"/>
      <c r="H1" s="36"/>
      <c r="I1" s="50"/>
      <c r="J1" s="50"/>
      <c r="K1" s="50"/>
      <c r="L1" s="36"/>
      <c r="M1" s="41"/>
      <c r="N1" s="28"/>
      <c r="O1" s="28"/>
      <c r="P1" s="36"/>
      <c r="Q1" s="41"/>
      <c r="R1" s="41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17"/>
      <c r="AI1" s="17"/>
    </row>
    <row r="2" spans="1:35" ht="18" customHeight="1">
      <c r="A2" s="80"/>
      <c r="B2" s="80"/>
      <c r="C2" s="79"/>
      <c r="D2" s="36"/>
      <c r="E2" s="36"/>
      <c r="F2" s="36"/>
      <c r="G2" s="36"/>
      <c r="H2" s="36"/>
      <c r="I2" s="36"/>
      <c r="J2" s="36"/>
      <c r="K2" s="36"/>
      <c r="L2" s="41"/>
      <c r="M2" s="41"/>
      <c r="N2" s="75"/>
      <c r="O2" s="75"/>
      <c r="P2" s="164"/>
      <c r="Q2" s="36"/>
      <c r="R2" s="36"/>
      <c r="S2" s="36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17"/>
      <c r="AI2" s="17"/>
    </row>
    <row r="3" spans="1:35" s="22" customFormat="1" ht="18" customHeight="1">
      <c r="A3" s="72"/>
      <c r="B3" s="72" t="s">
        <v>200</v>
      </c>
      <c r="C3" s="72"/>
      <c r="D3" s="335"/>
      <c r="E3" s="72"/>
      <c r="F3" s="72"/>
      <c r="G3" s="72"/>
      <c r="H3" s="72"/>
      <c r="I3" s="72"/>
      <c r="J3" s="72"/>
      <c r="K3" s="72"/>
      <c r="L3" s="72"/>
      <c r="M3" s="353"/>
      <c r="N3" s="353"/>
      <c r="O3" s="353"/>
      <c r="P3" s="359"/>
      <c r="Q3" s="412" t="s">
        <v>461</v>
      </c>
      <c r="R3" s="72"/>
      <c r="S3" s="64"/>
      <c r="T3" s="64"/>
      <c r="U3" s="72"/>
      <c r="V3" s="72"/>
      <c r="W3" s="72"/>
      <c r="X3" s="72"/>
      <c r="Y3" s="72"/>
      <c r="Z3" s="72"/>
      <c r="AA3" s="72"/>
      <c r="AB3" s="72"/>
      <c r="AC3" s="72"/>
      <c r="AD3" s="261"/>
      <c r="AE3" s="261"/>
      <c r="AF3" s="261"/>
      <c r="AG3" s="261"/>
      <c r="AH3" s="331"/>
      <c r="AI3" s="331"/>
    </row>
    <row r="4" spans="1:35" s="22" customFormat="1" ht="18" customHeight="1">
      <c r="A4" s="72"/>
      <c r="B4" s="72"/>
      <c r="C4" s="72"/>
      <c r="D4" s="72"/>
      <c r="E4" s="335"/>
      <c r="F4" s="72"/>
      <c r="G4" s="72"/>
      <c r="H4" s="72"/>
      <c r="I4" s="72"/>
      <c r="J4" s="72"/>
      <c r="K4" s="72"/>
      <c r="L4" s="72"/>
      <c r="M4" s="72"/>
      <c r="N4" s="353"/>
      <c r="O4" s="353"/>
      <c r="P4" s="72"/>
      <c r="Q4" s="72"/>
      <c r="R4" s="72"/>
      <c r="S4" s="72"/>
      <c r="T4" s="72"/>
      <c r="U4" s="72"/>
      <c r="V4" s="72"/>
      <c r="W4" s="72"/>
      <c r="X4" s="72" t="s">
        <v>462</v>
      </c>
      <c r="Y4" s="72"/>
      <c r="Z4" s="72"/>
      <c r="AA4" s="72"/>
      <c r="AB4" s="72"/>
      <c r="AC4" s="261"/>
      <c r="AD4" s="261"/>
      <c r="AE4" s="261"/>
      <c r="AF4" s="261"/>
      <c r="AG4" s="261"/>
      <c r="AH4" s="331"/>
      <c r="AI4" s="331"/>
    </row>
    <row r="5" spans="1:35" s="22" customFormat="1" ht="18" customHeight="1">
      <c r="A5" s="72"/>
      <c r="B5" s="72"/>
      <c r="C5" s="72"/>
      <c r="D5" s="72"/>
      <c r="E5" s="72"/>
      <c r="F5" s="72"/>
      <c r="G5" s="157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335"/>
      <c r="Z5" s="72"/>
      <c r="AA5" s="72"/>
      <c r="AB5" s="261"/>
      <c r="AC5" s="261"/>
      <c r="AD5" s="261"/>
      <c r="AE5" s="261"/>
      <c r="AF5" s="261"/>
      <c r="AG5" s="261"/>
      <c r="AH5" s="331"/>
      <c r="AI5" s="331"/>
    </row>
    <row r="6" spans="1:35" s="22" customFormat="1" ht="18" customHeight="1">
      <c r="A6" s="64"/>
      <c r="B6" s="72"/>
      <c r="C6" s="72"/>
      <c r="D6" s="72"/>
      <c r="E6" s="72"/>
      <c r="F6" s="72"/>
      <c r="G6" s="72"/>
      <c r="H6" s="72"/>
      <c r="I6" s="72"/>
      <c r="J6" s="340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335"/>
      <c r="Z6" s="72"/>
      <c r="AA6" s="64"/>
      <c r="AB6" s="261"/>
      <c r="AC6" s="261"/>
      <c r="AD6" s="261"/>
      <c r="AE6" s="261"/>
      <c r="AF6" s="261"/>
      <c r="AG6" s="261"/>
      <c r="AH6" s="331"/>
      <c r="AI6" s="331"/>
    </row>
    <row r="7" spans="1:35" s="22" customFormat="1" ht="18" customHeight="1">
      <c r="A7" s="64"/>
      <c r="B7" s="72"/>
      <c r="C7" s="72"/>
      <c r="D7" s="72"/>
      <c r="E7" s="336"/>
      <c r="F7" s="72"/>
      <c r="G7" s="72"/>
      <c r="H7" s="72"/>
      <c r="I7" s="72"/>
      <c r="J7" s="72"/>
      <c r="K7" s="72"/>
      <c r="L7" s="72"/>
      <c r="M7" s="72"/>
      <c r="N7" s="72"/>
      <c r="O7" s="72"/>
      <c r="P7" s="261"/>
      <c r="Q7" s="72"/>
      <c r="R7" s="72"/>
      <c r="S7" s="72"/>
      <c r="T7" s="72"/>
      <c r="U7" s="72"/>
      <c r="V7" s="340" t="s">
        <v>463</v>
      </c>
      <c r="W7" s="72"/>
      <c r="X7" s="72"/>
      <c r="Y7" s="335"/>
      <c r="Z7" s="72"/>
      <c r="AA7" s="64"/>
      <c r="AB7" s="261"/>
      <c r="AC7" s="261"/>
      <c r="AD7" s="261"/>
      <c r="AE7" s="261"/>
      <c r="AF7" s="261"/>
      <c r="AG7" s="261"/>
      <c r="AH7" s="331"/>
      <c r="AI7" s="331"/>
    </row>
    <row r="8" spans="1:35" s="22" customFormat="1" ht="18" customHeight="1">
      <c r="A8" s="72"/>
      <c r="B8" s="891">
        <f>'朝顔'!$C$12</f>
        <v>3650</v>
      </c>
      <c r="C8" s="72"/>
      <c r="D8" s="72"/>
      <c r="E8" s="336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335"/>
      <c r="Z8" s="72"/>
      <c r="AA8" s="338"/>
      <c r="AB8" s="261"/>
      <c r="AC8" s="261"/>
      <c r="AD8" s="261"/>
      <c r="AE8" s="261"/>
      <c r="AF8" s="261"/>
      <c r="AG8" s="261"/>
      <c r="AH8" s="331"/>
      <c r="AI8" s="331"/>
    </row>
    <row r="9" spans="1:35" s="22" customFormat="1" ht="18" customHeight="1">
      <c r="A9" s="72"/>
      <c r="B9" s="891"/>
      <c r="C9" s="72"/>
      <c r="D9" s="72"/>
      <c r="E9" s="157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335"/>
      <c r="Y9" s="72"/>
      <c r="Z9" s="72"/>
      <c r="AA9" s="72"/>
      <c r="AB9" s="261"/>
      <c r="AC9" s="261"/>
      <c r="AD9" s="261"/>
      <c r="AE9" s="261"/>
      <c r="AF9" s="261"/>
      <c r="AG9" s="261"/>
      <c r="AH9" s="331"/>
      <c r="AI9" s="331"/>
    </row>
    <row r="10" spans="1:35" s="22" customFormat="1" ht="18" customHeight="1">
      <c r="A10" s="72"/>
      <c r="B10" s="891"/>
      <c r="C10" s="413"/>
      <c r="D10" s="360"/>
      <c r="E10" s="361"/>
      <c r="F10" s="353"/>
      <c r="G10" s="72"/>
      <c r="H10" s="339"/>
      <c r="I10" s="72"/>
      <c r="J10" s="72"/>
      <c r="K10" s="72"/>
      <c r="L10" s="72"/>
      <c r="M10" s="544">
        <f>SQRT($C$11^2+($H$19+$L$19)^2)</f>
        <v>3247</v>
      </c>
      <c r="N10" s="544"/>
      <c r="O10" s="72"/>
      <c r="P10" s="72"/>
      <c r="Q10" s="72"/>
      <c r="R10" s="64"/>
      <c r="S10" s="72"/>
      <c r="T10" s="72"/>
      <c r="U10" s="72"/>
      <c r="V10" s="72"/>
      <c r="W10" s="72"/>
      <c r="X10" s="72"/>
      <c r="Y10" s="335"/>
      <c r="Z10" s="72"/>
      <c r="AA10" s="72"/>
      <c r="AB10" s="261"/>
      <c r="AC10" s="261"/>
      <c r="AD10" s="261"/>
      <c r="AE10" s="261"/>
      <c r="AF10" s="261"/>
      <c r="AG10" s="261"/>
      <c r="AH10" s="331"/>
      <c r="AI10" s="331"/>
    </row>
    <row r="11" spans="1:35" s="22" customFormat="1" ht="18" customHeight="1">
      <c r="A11" s="72"/>
      <c r="B11" s="341" t="s">
        <v>464</v>
      </c>
      <c r="C11" s="888">
        <f>'朝顔'!$C$12/3*2</f>
        <v>2433</v>
      </c>
      <c r="D11" s="72"/>
      <c r="E11" s="354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353" t="s">
        <v>465</v>
      </c>
      <c r="Q11" s="353"/>
      <c r="R11" s="353"/>
      <c r="S11" s="72"/>
      <c r="T11" s="79"/>
      <c r="U11" s="72"/>
      <c r="V11" s="72"/>
      <c r="W11" s="72"/>
      <c r="X11" s="72"/>
      <c r="Y11" s="335"/>
      <c r="Z11" s="72"/>
      <c r="AA11" s="72"/>
      <c r="AB11" s="261"/>
      <c r="AC11" s="261"/>
      <c r="AD11" s="261"/>
      <c r="AE11" s="261"/>
      <c r="AF11" s="261"/>
      <c r="AG11" s="261"/>
      <c r="AH11" s="331"/>
      <c r="AI11" s="331"/>
    </row>
    <row r="12" spans="1:35" s="22" customFormat="1" ht="18" customHeight="1">
      <c r="A12" s="72"/>
      <c r="B12" s="72"/>
      <c r="C12" s="889"/>
      <c r="D12" s="72"/>
      <c r="E12" s="173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 t="s">
        <v>466</v>
      </c>
      <c r="Q12" s="783">
        <f>'朝顔'!$P$6</f>
        <v>1800</v>
      </c>
      <c r="R12" s="783"/>
      <c r="S12" s="72"/>
      <c r="T12" s="72"/>
      <c r="U12" s="72"/>
      <c r="V12" s="72"/>
      <c r="W12" s="802" t="s">
        <v>467</v>
      </c>
      <c r="X12" s="802"/>
      <c r="Y12" s="335"/>
      <c r="Z12" s="72"/>
      <c r="AA12" s="72"/>
      <c r="AB12" s="261"/>
      <c r="AC12" s="261"/>
      <c r="AD12" s="261"/>
      <c r="AE12" s="261"/>
      <c r="AF12" s="261"/>
      <c r="AG12" s="261"/>
      <c r="AH12" s="331"/>
      <c r="AI12" s="331"/>
    </row>
    <row r="13" spans="1:35" s="22" customFormat="1" ht="18" customHeight="1">
      <c r="A13" s="72"/>
      <c r="B13" s="72"/>
      <c r="C13" s="889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64"/>
      <c r="S13" s="72"/>
      <c r="T13" s="72"/>
      <c r="U13" s="72"/>
      <c r="V13" s="72"/>
      <c r="W13" s="72"/>
      <c r="X13" s="72"/>
      <c r="Y13" s="335"/>
      <c r="Z13" s="72"/>
      <c r="AA13" s="72"/>
      <c r="AB13" s="261"/>
      <c r="AC13" s="261"/>
      <c r="AD13" s="261"/>
      <c r="AE13" s="261"/>
      <c r="AF13" s="261"/>
      <c r="AG13" s="261"/>
      <c r="AH13" s="331"/>
      <c r="AI13" s="331"/>
    </row>
    <row r="14" spans="1:35" s="22" customFormat="1" ht="18" customHeight="1">
      <c r="A14" s="72"/>
      <c r="B14" s="72"/>
      <c r="C14" s="414" t="s">
        <v>468</v>
      </c>
      <c r="D14" s="355"/>
      <c r="E14" s="355"/>
      <c r="F14" s="353"/>
      <c r="G14" s="353"/>
      <c r="H14" s="353"/>
      <c r="I14" s="72"/>
      <c r="J14" s="72"/>
      <c r="K14" s="72"/>
      <c r="L14" s="72"/>
      <c r="M14" s="72"/>
      <c r="N14" s="72"/>
      <c r="O14" s="72"/>
      <c r="P14" s="72"/>
      <c r="Q14" s="72"/>
      <c r="R14" s="64"/>
      <c r="S14" s="72"/>
      <c r="T14" s="72"/>
      <c r="U14" s="72"/>
      <c r="V14" s="72" t="s">
        <v>469</v>
      </c>
      <c r="W14" s="72"/>
      <c r="X14" s="72"/>
      <c r="Y14" s="335"/>
      <c r="Z14" s="72"/>
      <c r="AA14" s="72"/>
      <c r="AB14" s="261"/>
      <c r="AC14" s="261"/>
      <c r="AD14" s="261"/>
      <c r="AE14" s="261"/>
      <c r="AF14" s="261"/>
      <c r="AG14" s="261"/>
      <c r="AH14" s="331"/>
      <c r="AI14" s="331"/>
    </row>
    <row r="15" spans="1:35" s="22" customFormat="1" ht="18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4"/>
      <c r="S15" s="72"/>
      <c r="T15" s="72"/>
      <c r="U15" s="72"/>
      <c r="V15" s="72"/>
      <c r="W15" s="72"/>
      <c r="X15" s="72"/>
      <c r="Y15" s="335"/>
      <c r="Z15" s="72"/>
      <c r="AA15" s="72"/>
      <c r="AB15" s="261"/>
      <c r="AC15" s="261"/>
      <c r="AD15" s="261"/>
      <c r="AE15" s="261"/>
      <c r="AF15" s="261"/>
      <c r="AG15" s="261"/>
      <c r="AH15" s="331"/>
      <c r="AI15" s="331"/>
    </row>
    <row r="16" spans="1:35" s="22" customFormat="1" ht="18" customHeight="1">
      <c r="A16" s="72"/>
      <c r="B16" s="72"/>
      <c r="C16" s="72"/>
      <c r="D16" s="72"/>
      <c r="E16" s="72"/>
      <c r="F16" s="72"/>
      <c r="G16" s="544"/>
      <c r="H16" s="544"/>
      <c r="I16" s="72"/>
      <c r="J16" s="72"/>
      <c r="K16" s="72"/>
      <c r="L16" s="72"/>
      <c r="M16" s="72"/>
      <c r="N16" s="72"/>
      <c r="O16" s="72"/>
      <c r="P16" s="72"/>
      <c r="Q16" s="72"/>
      <c r="R16" s="64"/>
      <c r="S16" s="72"/>
      <c r="T16" s="72"/>
      <c r="U16" s="72"/>
      <c r="V16" s="72"/>
      <c r="W16" s="72"/>
      <c r="X16" s="72"/>
      <c r="Y16" s="335"/>
      <c r="Z16" s="72"/>
      <c r="AA16" s="72"/>
      <c r="AB16" s="261"/>
      <c r="AC16" s="261"/>
      <c r="AD16" s="261"/>
      <c r="AE16" s="261"/>
      <c r="AF16" s="261"/>
      <c r="AG16" s="261"/>
      <c r="AH16" s="331"/>
      <c r="AI16" s="331"/>
    </row>
    <row r="17" spans="1:35" s="22" customFormat="1" ht="18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64"/>
      <c r="S17" s="72"/>
      <c r="T17" s="72"/>
      <c r="U17" s="72"/>
      <c r="V17" s="72"/>
      <c r="W17" s="72"/>
      <c r="X17" s="72"/>
      <c r="Y17" s="335"/>
      <c r="Z17" s="72"/>
      <c r="AA17" s="72"/>
      <c r="AB17" s="261"/>
      <c r="AC17" s="261"/>
      <c r="AD17" s="261"/>
      <c r="AE17" s="261"/>
      <c r="AF17" s="261"/>
      <c r="AG17" s="261"/>
      <c r="AH17" s="331"/>
      <c r="AI17" s="331"/>
    </row>
    <row r="18" spans="1:35" s="22" customFormat="1" ht="18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64"/>
      <c r="S18" s="72"/>
      <c r="T18" s="72"/>
      <c r="U18" s="72"/>
      <c r="V18" s="72"/>
      <c r="W18" s="72"/>
      <c r="X18" s="72"/>
      <c r="Y18" s="335"/>
      <c r="Z18" s="72"/>
      <c r="AA18" s="72"/>
      <c r="AB18" s="261"/>
      <c r="AC18" s="261"/>
      <c r="AD18" s="261"/>
      <c r="AE18" s="261"/>
      <c r="AF18" s="261"/>
      <c r="AG18" s="261"/>
      <c r="AH18" s="331"/>
      <c r="AI18" s="331"/>
    </row>
    <row r="19" spans="1:35" s="22" customFormat="1" ht="18" customHeight="1">
      <c r="A19" s="72"/>
      <c r="B19" s="72"/>
      <c r="C19" s="72"/>
      <c r="D19" s="72"/>
      <c r="E19" s="72"/>
      <c r="F19" s="72"/>
      <c r="G19" s="72"/>
      <c r="H19" s="833">
        <f>'朝顔'!$J$2/3*2</f>
        <v>1000</v>
      </c>
      <c r="I19" s="833"/>
      <c r="J19" s="833"/>
      <c r="K19" s="72"/>
      <c r="L19" s="833">
        <f>'朝顔'!$O$24</f>
        <v>1150</v>
      </c>
      <c r="M19" s="833"/>
      <c r="N19" s="833"/>
      <c r="O19" s="72"/>
      <c r="P19" s="72"/>
      <c r="Q19" s="72"/>
      <c r="R19" s="64"/>
      <c r="S19" s="72"/>
      <c r="T19" s="72"/>
      <c r="U19" s="72"/>
      <c r="V19" s="72"/>
      <c r="W19" s="72"/>
      <c r="X19" s="72"/>
      <c r="Y19" s="335"/>
      <c r="Z19" s="335"/>
      <c r="AA19" s="72"/>
      <c r="AB19" s="261"/>
      <c r="AC19" s="261"/>
      <c r="AD19" s="261"/>
      <c r="AE19" s="261"/>
      <c r="AF19" s="261"/>
      <c r="AG19" s="261"/>
      <c r="AH19" s="331"/>
      <c r="AI19" s="331"/>
    </row>
    <row r="20" spans="1:35" s="22" customFormat="1" ht="18" customHeight="1">
      <c r="A20" s="72"/>
      <c r="B20" s="72"/>
      <c r="C20" s="72"/>
      <c r="D20" s="335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43"/>
      <c r="R20" s="64"/>
      <c r="S20" s="112"/>
      <c r="T20" s="112"/>
      <c r="U20" s="72"/>
      <c r="V20" s="72"/>
      <c r="W20" s="72"/>
      <c r="X20" s="72"/>
      <c r="Y20" s="72"/>
      <c r="Z20" s="72"/>
      <c r="AA20" s="72"/>
      <c r="AB20" s="261"/>
      <c r="AC20" s="261"/>
      <c r="AD20" s="261"/>
      <c r="AE20" s="261"/>
      <c r="AF20" s="261"/>
      <c r="AG20" s="261"/>
      <c r="AH20" s="331"/>
      <c r="AI20" s="331"/>
    </row>
    <row r="21" spans="1:35" s="22" customFormat="1" ht="18" customHeight="1">
      <c r="A21" s="72"/>
      <c r="B21" s="72"/>
      <c r="C21" s="72" t="s">
        <v>175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50"/>
      <c r="O21" s="50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64"/>
      <c r="AC21" s="72"/>
      <c r="AD21" s="261"/>
      <c r="AE21" s="261"/>
      <c r="AF21" s="261"/>
      <c r="AG21" s="261"/>
      <c r="AH21" s="331"/>
      <c r="AI21" s="331"/>
    </row>
    <row r="22" spans="1:35" s="22" customFormat="1" ht="18" customHeight="1">
      <c r="A22" s="72"/>
      <c r="B22" s="72"/>
      <c r="C22" s="72"/>
      <c r="D22" s="802" t="s">
        <v>227</v>
      </c>
      <c r="E22" s="802" t="s">
        <v>112</v>
      </c>
      <c r="F22" s="892" t="s">
        <v>470</v>
      </c>
      <c r="G22" s="892"/>
      <c r="H22" s="892"/>
      <c r="I22" s="892"/>
      <c r="J22" s="832" t="s">
        <v>111</v>
      </c>
      <c r="K22" s="821">
        <f>'朝顔'!$T$65</f>
        <v>334</v>
      </c>
      <c r="L22" s="821"/>
      <c r="M22" s="415" t="s">
        <v>471</v>
      </c>
      <c r="N22" s="893">
        <f>'布'!$U$18/1000</f>
        <v>1.8</v>
      </c>
      <c r="O22" s="893"/>
      <c r="P22" s="415" t="s">
        <v>471</v>
      </c>
      <c r="Q22" s="893">
        <f>$B$8/1000</f>
        <v>3.65</v>
      </c>
      <c r="R22" s="893"/>
      <c r="S22" s="416" t="s">
        <v>472</v>
      </c>
      <c r="T22" s="832" t="s">
        <v>111</v>
      </c>
      <c r="U22" s="544">
        <f>$K$22*$N$22*$Q$22^2/$M$23/$O$23</f>
        <v>1646</v>
      </c>
      <c r="V22" s="544"/>
      <c r="W22" s="812" t="s">
        <v>91</v>
      </c>
      <c r="X22" s="72"/>
      <c r="Y22" s="72"/>
      <c r="Z22" s="72"/>
      <c r="AA22" s="72"/>
      <c r="AB22" s="64"/>
      <c r="AC22" s="72"/>
      <c r="AD22" s="261"/>
      <c r="AE22" s="261"/>
      <c r="AF22" s="261"/>
      <c r="AG22" s="261"/>
      <c r="AH22" s="331"/>
      <c r="AI22" s="331"/>
    </row>
    <row r="23" spans="1:35" s="22" customFormat="1" ht="18" customHeight="1">
      <c r="A23" s="72"/>
      <c r="B23" s="72"/>
      <c r="C23" s="335"/>
      <c r="D23" s="802"/>
      <c r="E23" s="802"/>
      <c r="F23" s="815" t="s">
        <v>561</v>
      </c>
      <c r="G23" s="815"/>
      <c r="H23" s="815"/>
      <c r="I23" s="815"/>
      <c r="J23" s="832"/>
      <c r="K23" s="358"/>
      <c r="L23" s="204"/>
      <c r="M23" s="77">
        <v>2</v>
      </c>
      <c r="N23" s="358" t="s">
        <v>471</v>
      </c>
      <c r="O23" s="811">
        <f>$C$11/1000</f>
        <v>2.433</v>
      </c>
      <c r="P23" s="894"/>
      <c r="Q23" s="358"/>
      <c r="R23" s="358"/>
      <c r="S23" s="358"/>
      <c r="T23" s="832"/>
      <c r="U23" s="544"/>
      <c r="V23" s="544"/>
      <c r="W23" s="812"/>
      <c r="X23" s="72"/>
      <c r="Y23" s="72"/>
      <c r="Z23" s="72"/>
      <c r="AA23" s="72"/>
      <c r="AB23" s="64"/>
      <c r="AC23" s="417" t="s">
        <v>118</v>
      </c>
      <c r="AD23" s="261"/>
      <c r="AE23" s="261"/>
      <c r="AF23" s="261"/>
      <c r="AG23" s="261"/>
      <c r="AH23" s="331"/>
      <c r="AI23" s="331"/>
    </row>
    <row r="24" spans="1:35" s="22" customFormat="1" ht="18" customHeight="1">
      <c r="A24" s="72"/>
      <c r="B24" s="72"/>
      <c r="C24" s="335"/>
      <c r="D24" s="340"/>
      <c r="E24" s="340"/>
      <c r="F24" s="340"/>
      <c r="G24" s="340"/>
      <c r="H24" s="340"/>
      <c r="I24" s="340"/>
      <c r="J24" s="364"/>
      <c r="K24" s="72"/>
      <c r="L24" s="36"/>
      <c r="M24" s="167"/>
      <c r="N24" s="72"/>
      <c r="O24" s="311"/>
      <c r="P24" s="310"/>
      <c r="Q24" s="72"/>
      <c r="R24" s="72"/>
      <c r="S24" s="72"/>
      <c r="T24" s="364"/>
      <c r="U24" s="39"/>
      <c r="V24" s="39"/>
      <c r="W24" s="342"/>
      <c r="X24" s="72"/>
      <c r="Y24" s="72"/>
      <c r="Z24" s="72"/>
      <c r="AA24" s="72"/>
      <c r="AB24" s="64"/>
      <c r="AC24" s="417" t="s">
        <v>119</v>
      </c>
      <c r="AD24" s="261"/>
      <c r="AE24" s="261"/>
      <c r="AF24" s="261"/>
      <c r="AG24" s="261"/>
      <c r="AH24" s="331"/>
      <c r="AI24" s="331"/>
    </row>
    <row r="25" spans="1:35" s="22" customFormat="1" ht="18" customHeight="1">
      <c r="A25" s="72"/>
      <c r="B25" s="72"/>
      <c r="C25" s="72" t="s">
        <v>176</v>
      </c>
      <c r="D25" s="340"/>
      <c r="E25" s="340"/>
      <c r="F25" s="340"/>
      <c r="G25" s="340"/>
      <c r="H25" s="340"/>
      <c r="I25" s="340"/>
      <c r="J25" s="364"/>
      <c r="K25" s="72"/>
      <c r="L25" s="36"/>
      <c r="M25" s="167"/>
      <c r="N25" s="72"/>
      <c r="O25" s="311"/>
      <c r="P25" s="310"/>
      <c r="Q25" s="72"/>
      <c r="R25" s="72"/>
      <c r="S25" s="72"/>
      <c r="T25" s="364"/>
      <c r="U25" s="39"/>
      <c r="V25" s="39"/>
      <c r="W25" s="342"/>
      <c r="X25" s="72"/>
      <c r="Y25" s="72"/>
      <c r="Z25" s="72"/>
      <c r="AA25" s="72"/>
      <c r="AB25" s="64"/>
      <c r="AC25" s="72"/>
      <c r="AD25" s="261"/>
      <c r="AE25" s="261"/>
      <c r="AF25" s="261"/>
      <c r="AG25" s="261"/>
      <c r="AH25" s="331"/>
      <c r="AI25" s="331"/>
    </row>
    <row r="26" spans="1:35" s="22" customFormat="1" ht="18" customHeight="1">
      <c r="A26" s="362"/>
      <c r="B26" s="362"/>
      <c r="C26" s="363"/>
      <c r="D26" s="802" t="s">
        <v>29</v>
      </c>
      <c r="E26" s="802" t="s">
        <v>111</v>
      </c>
      <c r="F26" s="838">
        <f>$U$22</f>
        <v>1646</v>
      </c>
      <c r="G26" s="839"/>
      <c r="H26" s="832" t="s">
        <v>473</v>
      </c>
      <c r="I26" s="837">
        <f>$M$10</f>
        <v>3247</v>
      </c>
      <c r="J26" s="837"/>
      <c r="K26" s="832" t="s">
        <v>111</v>
      </c>
      <c r="L26" s="838">
        <f>$F$26*$I$26/$I$27</f>
        <v>4647</v>
      </c>
      <c r="M26" s="838"/>
      <c r="N26" s="812" t="s">
        <v>475</v>
      </c>
      <c r="O26" s="311"/>
      <c r="P26" s="362"/>
      <c r="Q26" s="362"/>
      <c r="R26" s="362"/>
      <c r="S26" s="362"/>
      <c r="T26" s="362"/>
      <c r="U26" s="362"/>
      <c r="V26" s="65"/>
      <c r="W26" s="362"/>
      <c r="X26" s="367"/>
      <c r="Y26" s="261"/>
      <c r="Z26" s="261"/>
      <c r="AA26" s="261"/>
      <c r="AB26" s="261"/>
      <c r="AC26" s="261"/>
      <c r="AD26" s="261"/>
      <c r="AE26" s="261"/>
      <c r="AF26" s="261"/>
      <c r="AG26" s="261"/>
      <c r="AH26" s="331"/>
      <c r="AI26" s="331"/>
    </row>
    <row r="27" spans="1:35" s="22" customFormat="1" ht="18" customHeight="1">
      <c r="A27" s="362"/>
      <c r="B27" s="362"/>
      <c r="C27" s="363"/>
      <c r="D27" s="802"/>
      <c r="E27" s="802"/>
      <c r="F27" s="840"/>
      <c r="G27" s="840"/>
      <c r="H27" s="832"/>
      <c r="I27" s="836">
        <f>$L$19</f>
        <v>1150</v>
      </c>
      <c r="J27" s="836"/>
      <c r="K27" s="832"/>
      <c r="L27" s="840"/>
      <c r="M27" s="840"/>
      <c r="N27" s="812"/>
      <c r="O27" s="348"/>
      <c r="P27" s="362"/>
      <c r="Q27" s="362"/>
      <c r="R27" s="362"/>
      <c r="S27" s="362"/>
      <c r="T27" s="362"/>
      <c r="U27" s="362"/>
      <c r="V27" s="65"/>
      <c r="W27" s="362"/>
      <c r="X27" s="367"/>
      <c r="Y27" s="261"/>
      <c r="Z27" s="261"/>
      <c r="AA27" s="261"/>
      <c r="AB27" s="261"/>
      <c r="AC27" s="261"/>
      <c r="AD27" s="261"/>
      <c r="AE27" s="261"/>
      <c r="AF27" s="261"/>
      <c r="AG27" s="261"/>
      <c r="AH27" s="331"/>
      <c r="AI27" s="331"/>
    </row>
    <row r="28" spans="1:35" s="22" customFormat="1" ht="18" customHeight="1">
      <c r="A28" s="362"/>
      <c r="B28" s="362"/>
      <c r="C28" s="363"/>
      <c r="D28" s="340"/>
      <c r="E28" s="340"/>
      <c r="F28" s="368"/>
      <c r="G28" s="368"/>
      <c r="H28" s="364"/>
      <c r="I28" s="365"/>
      <c r="J28" s="365"/>
      <c r="K28" s="364"/>
      <c r="L28" s="368"/>
      <c r="M28" s="368"/>
      <c r="N28" s="342"/>
      <c r="O28" s="348"/>
      <c r="P28" s="362"/>
      <c r="Q28" s="362"/>
      <c r="R28" s="362"/>
      <c r="S28" s="362"/>
      <c r="T28" s="362"/>
      <c r="U28" s="362"/>
      <c r="V28" s="65"/>
      <c r="W28" s="362"/>
      <c r="X28" s="367"/>
      <c r="Y28" s="261"/>
      <c r="Z28" s="261"/>
      <c r="AA28" s="261"/>
      <c r="AB28" s="261"/>
      <c r="AC28" s="554" t="s">
        <v>43</v>
      </c>
      <c r="AD28" s="418" t="s">
        <v>181</v>
      </c>
      <c r="AE28" s="418" t="s">
        <v>178</v>
      </c>
      <c r="AF28" s="261"/>
      <c r="AG28" s="261"/>
      <c r="AH28" s="331"/>
      <c r="AI28" s="331"/>
    </row>
    <row r="29" spans="1:35" s="22" customFormat="1" ht="18" customHeight="1">
      <c r="A29" s="362"/>
      <c r="B29" s="362"/>
      <c r="C29" s="362" t="s">
        <v>202</v>
      </c>
      <c r="D29" s="362"/>
      <c r="E29" s="362"/>
      <c r="F29" s="362"/>
      <c r="G29" s="362"/>
      <c r="H29" s="79"/>
      <c r="I29" s="362" t="s">
        <v>203</v>
      </c>
      <c r="J29" s="79"/>
      <c r="K29" s="719" t="s">
        <v>119</v>
      </c>
      <c r="L29" s="719"/>
      <c r="M29" s="719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64"/>
      <c r="AC29" s="555"/>
      <c r="AD29" s="419" t="s">
        <v>476</v>
      </c>
      <c r="AE29" s="419" t="s">
        <v>477</v>
      </c>
      <c r="AF29" s="261"/>
      <c r="AG29" s="261"/>
      <c r="AH29" s="331"/>
      <c r="AI29" s="331"/>
    </row>
    <row r="30" spans="1:35" s="20" customFormat="1" ht="18" customHeight="1">
      <c r="A30" s="362"/>
      <c r="B30" s="362"/>
      <c r="C30" s="362"/>
      <c r="D30" s="340" t="s">
        <v>364</v>
      </c>
      <c r="E30" s="369" t="str">
        <f>IF($L$26&lt;=$O$30,"＜","＞")</f>
        <v>＞</v>
      </c>
      <c r="F30" s="840" t="s">
        <v>478</v>
      </c>
      <c r="G30" s="531"/>
      <c r="H30" s="531"/>
      <c r="I30" s="832">
        <v>1.3</v>
      </c>
      <c r="J30" s="832"/>
      <c r="K30" s="364" t="s">
        <v>362</v>
      </c>
      <c r="L30" s="885">
        <f>VLOOKUP($K$29,'使用材一覧'!$M$38:$T$39,4,FALSE)</f>
        <v>3430</v>
      </c>
      <c r="M30" s="886"/>
      <c r="N30" s="364" t="s">
        <v>111</v>
      </c>
      <c r="O30" s="885">
        <f>$I$30*L30</f>
        <v>4459</v>
      </c>
      <c r="P30" s="886"/>
      <c r="Q30" s="362" t="s">
        <v>364</v>
      </c>
      <c r="R30" s="895" t="str">
        <f>IF($L$26&lt;=$O$30,"","NG")</f>
        <v>NG</v>
      </c>
      <c r="S30" s="896"/>
      <c r="T30" s="896"/>
      <c r="U30" s="362"/>
      <c r="V30" s="362"/>
      <c r="W30" s="362"/>
      <c r="X30" s="362"/>
      <c r="Y30" s="362"/>
      <c r="Z30" s="362"/>
      <c r="AA30" s="362"/>
      <c r="AB30" s="64"/>
      <c r="AC30" s="420" t="s">
        <v>479</v>
      </c>
      <c r="AD30" s="421">
        <v>355</v>
      </c>
      <c r="AE30" s="421">
        <v>96</v>
      </c>
      <c r="AF30" s="72"/>
      <c r="AG30" s="72"/>
      <c r="AH30" s="330"/>
      <c r="AI30" s="330"/>
    </row>
    <row r="31" spans="1:35" s="20" customFormat="1" ht="18" customHeight="1">
      <c r="A31" s="362"/>
      <c r="B31" s="362"/>
      <c r="C31" s="362"/>
      <c r="D31" s="338"/>
      <c r="E31" s="369"/>
      <c r="F31" s="376"/>
      <c r="G31" s="376"/>
      <c r="H31" s="377"/>
      <c r="I31" s="362"/>
      <c r="J31" s="362"/>
      <c r="K31" s="364"/>
      <c r="L31" s="362"/>
      <c r="M31" s="65"/>
      <c r="N31" s="362"/>
      <c r="O31" s="364"/>
      <c r="P31" s="374"/>
      <c r="Q31" s="374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64"/>
      <c r="AC31" s="422" t="s">
        <v>480</v>
      </c>
      <c r="AD31" s="423">
        <v>245</v>
      </c>
      <c r="AE31" s="423">
        <v>116</v>
      </c>
      <c r="AF31" s="72"/>
      <c r="AG31" s="72"/>
      <c r="AH31" s="330"/>
      <c r="AI31" s="330"/>
    </row>
    <row r="32" spans="1:35" s="22" customFormat="1" ht="18" customHeight="1">
      <c r="A32" s="362"/>
      <c r="B32" s="362"/>
      <c r="C32" s="362" t="s">
        <v>177</v>
      </c>
      <c r="D32" s="369"/>
      <c r="E32" s="369"/>
      <c r="F32" s="369"/>
      <c r="G32" s="369"/>
      <c r="H32" s="364"/>
      <c r="I32" s="65"/>
      <c r="J32" s="362"/>
      <c r="K32" s="364"/>
      <c r="L32" s="362"/>
      <c r="M32" s="65"/>
      <c r="N32" s="362"/>
      <c r="O32" s="364"/>
      <c r="P32" s="374"/>
      <c r="Q32" s="374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64"/>
      <c r="AC32" s="422" t="s">
        <v>481</v>
      </c>
      <c r="AD32" s="423">
        <v>245</v>
      </c>
      <c r="AE32" s="423">
        <v>116</v>
      </c>
      <c r="AF32" s="261"/>
      <c r="AG32" s="261"/>
      <c r="AH32" s="331"/>
      <c r="AI32" s="331"/>
    </row>
    <row r="33" spans="1:35" s="22" customFormat="1" ht="18" customHeight="1">
      <c r="A33" s="362"/>
      <c r="B33" s="362"/>
      <c r="C33" s="362"/>
      <c r="D33" s="831" t="s">
        <v>559</v>
      </c>
      <c r="E33" s="531" t="s">
        <v>111</v>
      </c>
      <c r="F33" s="370" t="s">
        <v>482</v>
      </c>
      <c r="G33" s="832" t="s">
        <v>371</v>
      </c>
      <c r="H33" s="837">
        <f>$M$10</f>
        <v>3247</v>
      </c>
      <c r="I33" s="837"/>
      <c r="J33" s="832" t="s">
        <v>371</v>
      </c>
      <c r="K33" s="838">
        <f>$H$33/$H$34</f>
        <v>112</v>
      </c>
      <c r="L33" s="838"/>
      <c r="M33" s="831" t="str">
        <f>IF($K$33&lt;=$O$33,"＜","＞")</f>
        <v>＜</v>
      </c>
      <c r="N33" s="850" t="s">
        <v>562</v>
      </c>
      <c r="O33" s="883">
        <f>VLOOKUP($F$1,$AC$30:$AE$36,3,FALSE)</f>
        <v>116</v>
      </c>
      <c r="P33" s="531"/>
      <c r="Q33" s="364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64"/>
      <c r="AC33" s="422" t="s">
        <v>484</v>
      </c>
      <c r="AD33" s="423">
        <v>245</v>
      </c>
      <c r="AE33" s="423">
        <v>116</v>
      </c>
      <c r="AF33" s="261"/>
      <c r="AG33" s="261"/>
      <c r="AH33" s="331"/>
      <c r="AI33" s="331"/>
    </row>
    <row r="34" spans="1:35" s="22" customFormat="1" ht="18" customHeight="1">
      <c r="A34" s="362"/>
      <c r="B34" s="362"/>
      <c r="C34" s="362"/>
      <c r="D34" s="807"/>
      <c r="E34" s="531"/>
      <c r="F34" s="408" t="s">
        <v>485</v>
      </c>
      <c r="G34" s="832"/>
      <c r="H34" s="884">
        <f>'使用材一覧'!$P$18</f>
        <v>29.1</v>
      </c>
      <c r="I34" s="884"/>
      <c r="J34" s="832"/>
      <c r="K34" s="838"/>
      <c r="L34" s="838"/>
      <c r="M34" s="831"/>
      <c r="N34" s="850"/>
      <c r="O34" s="531"/>
      <c r="P34" s="531"/>
      <c r="Q34" s="364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64"/>
      <c r="AC34" s="422" t="s">
        <v>486</v>
      </c>
      <c r="AD34" s="423">
        <v>325</v>
      </c>
      <c r="AE34" s="423">
        <v>101</v>
      </c>
      <c r="AF34" s="261"/>
      <c r="AG34" s="261"/>
      <c r="AH34" s="331"/>
      <c r="AI34" s="331"/>
    </row>
    <row r="35" spans="1:35" s="22" customFormat="1" ht="18" customHeight="1">
      <c r="A35" s="362"/>
      <c r="B35" s="362"/>
      <c r="C35" s="362"/>
      <c r="D35" s="369"/>
      <c r="E35" s="369"/>
      <c r="F35" s="369"/>
      <c r="G35" s="369"/>
      <c r="H35" s="364"/>
      <c r="I35" s="362"/>
      <c r="J35" s="362"/>
      <c r="K35" s="364"/>
      <c r="L35" s="362"/>
      <c r="M35" s="65"/>
      <c r="N35" s="362"/>
      <c r="O35" s="364"/>
      <c r="P35" s="374"/>
      <c r="Q35" s="374"/>
      <c r="R35" s="376"/>
      <c r="S35" s="376"/>
      <c r="T35" s="362"/>
      <c r="U35" s="362"/>
      <c r="V35" s="362"/>
      <c r="W35" s="362"/>
      <c r="X35" s="362"/>
      <c r="Y35" s="362"/>
      <c r="Z35" s="362"/>
      <c r="AA35" s="362"/>
      <c r="AB35" s="64"/>
      <c r="AC35" s="422" t="s">
        <v>487</v>
      </c>
      <c r="AD35" s="423">
        <v>325</v>
      </c>
      <c r="AE35" s="423">
        <v>101</v>
      </c>
      <c r="AF35" s="261"/>
      <c r="AG35" s="261"/>
      <c r="AH35" s="331"/>
      <c r="AI35" s="331"/>
    </row>
    <row r="36" spans="1:35" s="22" customFormat="1" ht="18" customHeight="1">
      <c r="A36" s="362"/>
      <c r="B36" s="362"/>
      <c r="C36" s="362"/>
      <c r="D36" s="362"/>
      <c r="E36" s="424" t="s">
        <v>179</v>
      </c>
      <c r="F36" s="369"/>
      <c r="G36" s="369"/>
      <c r="H36" s="369"/>
      <c r="I36" s="364"/>
      <c r="J36" s="362"/>
      <c r="K36" s="362"/>
      <c r="L36" s="364"/>
      <c r="M36" s="362"/>
      <c r="N36" s="65"/>
      <c r="O36" s="362"/>
      <c r="P36" s="364"/>
      <c r="Q36" s="374"/>
      <c r="R36" s="374"/>
      <c r="S36" s="362"/>
      <c r="T36" s="362"/>
      <c r="U36" s="362"/>
      <c r="V36" s="362"/>
      <c r="W36" s="362"/>
      <c r="X36" s="362"/>
      <c r="Y36" s="362"/>
      <c r="Z36" s="362"/>
      <c r="AA36" s="362"/>
      <c r="AB36" s="64"/>
      <c r="AC36" s="425" t="s">
        <v>488</v>
      </c>
      <c r="AD36" s="426">
        <v>325</v>
      </c>
      <c r="AE36" s="426">
        <v>101</v>
      </c>
      <c r="AF36" s="261"/>
      <c r="AG36" s="261"/>
      <c r="AH36" s="331"/>
      <c r="AI36" s="331"/>
    </row>
    <row r="37" spans="1:35" s="22" customFormat="1" ht="18" customHeight="1">
      <c r="A37" s="362"/>
      <c r="B37" s="362"/>
      <c r="C37" s="362"/>
      <c r="D37" s="427"/>
      <c r="E37" s="369"/>
      <c r="F37" s="831" t="s">
        <v>489</v>
      </c>
      <c r="G37" s="831"/>
      <c r="H37" s="844" t="s">
        <v>490</v>
      </c>
      <c r="I37" s="844"/>
      <c r="J37" s="516"/>
      <c r="K37" s="516"/>
      <c r="L37" s="516"/>
      <c r="M37" s="516"/>
      <c r="N37" s="882" t="s">
        <v>563</v>
      </c>
      <c r="O37" s="763"/>
      <c r="P37" s="831" t="s">
        <v>491</v>
      </c>
      <c r="Q37" s="878">
        <f>IF($K$33&lt;=$O$33,(1-0.4*($K$33/$O$33)^2)*VLOOKUP($F$1,$AC$30:$AE$36,2,FALSE),"――")</f>
        <v>153.6</v>
      </c>
      <c r="R37" s="809"/>
      <c r="S37" s="880" t="s">
        <v>492</v>
      </c>
      <c r="T37" s="763"/>
      <c r="U37" s="427"/>
      <c r="V37" s="410"/>
      <c r="W37" s="362"/>
      <c r="X37" s="362"/>
      <c r="Y37" s="362"/>
      <c r="Z37" s="70"/>
      <c r="AA37" s="70"/>
      <c r="AB37" s="64"/>
      <c r="AC37" s="72"/>
      <c r="AD37" s="261"/>
      <c r="AE37" s="261"/>
      <c r="AF37" s="261"/>
      <c r="AG37" s="261"/>
      <c r="AH37" s="331"/>
      <c r="AI37" s="331"/>
    </row>
    <row r="38" spans="1:35" s="22" customFormat="1" ht="18" customHeight="1">
      <c r="A38" s="362"/>
      <c r="B38" s="362"/>
      <c r="C38" s="362"/>
      <c r="D38" s="427"/>
      <c r="E38" s="369"/>
      <c r="F38" s="831"/>
      <c r="G38" s="831"/>
      <c r="H38" s="881" t="s">
        <v>493</v>
      </c>
      <c r="I38" s="881"/>
      <c r="J38" s="813"/>
      <c r="K38" s="813"/>
      <c r="L38" s="813"/>
      <c r="M38" s="813"/>
      <c r="N38" s="763"/>
      <c r="O38" s="763"/>
      <c r="P38" s="831"/>
      <c r="Q38" s="809"/>
      <c r="R38" s="809"/>
      <c r="S38" s="763"/>
      <c r="T38" s="763"/>
      <c r="U38" s="427"/>
      <c r="V38" s="410"/>
      <c r="W38" s="362"/>
      <c r="X38" s="362"/>
      <c r="Y38" s="362"/>
      <c r="Z38" s="70"/>
      <c r="AA38" s="70"/>
      <c r="AB38" s="64"/>
      <c r="AC38" s="72"/>
      <c r="AD38" s="261"/>
      <c r="AE38" s="261"/>
      <c r="AF38" s="261"/>
      <c r="AG38" s="261"/>
      <c r="AH38" s="331"/>
      <c r="AI38" s="331"/>
    </row>
    <row r="39" spans="1:35" s="22" customFormat="1" ht="18" customHeight="1">
      <c r="A39" s="362"/>
      <c r="B39" s="362"/>
      <c r="C39" s="362"/>
      <c r="D39" s="375"/>
      <c r="E39" s="424" t="s">
        <v>180</v>
      </c>
      <c r="F39" s="369"/>
      <c r="G39" s="369"/>
      <c r="H39" s="369"/>
      <c r="I39" s="364"/>
      <c r="J39" s="362"/>
      <c r="K39" s="362"/>
      <c r="L39" s="364"/>
      <c r="M39" s="362"/>
      <c r="N39" s="65"/>
      <c r="O39" s="362"/>
      <c r="P39" s="364"/>
      <c r="Q39" s="374"/>
      <c r="R39" s="369"/>
      <c r="S39" s="66"/>
      <c r="T39" s="66"/>
      <c r="U39" s="375"/>
      <c r="V39" s="369"/>
      <c r="W39" s="362"/>
      <c r="X39" s="362"/>
      <c r="Y39" s="364"/>
      <c r="Z39" s="67"/>
      <c r="AA39" s="67"/>
      <c r="AB39" s="64"/>
      <c r="AC39" s="72"/>
      <c r="AD39" s="261"/>
      <c r="AE39" s="261"/>
      <c r="AF39" s="261"/>
      <c r="AG39" s="261"/>
      <c r="AH39" s="331"/>
      <c r="AI39" s="331"/>
    </row>
    <row r="40" spans="1:35" s="22" customFormat="1" ht="18" customHeight="1">
      <c r="A40" s="362"/>
      <c r="B40" s="362"/>
      <c r="C40" s="362"/>
      <c r="D40" s="362"/>
      <c r="E40" s="369"/>
      <c r="F40" s="831" t="s">
        <v>489</v>
      </c>
      <c r="G40" s="831"/>
      <c r="H40" s="844">
        <v>0.29</v>
      </c>
      <c r="I40" s="516"/>
      <c r="J40" s="516"/>
      <c r="K40" s="882" t="s">
        <v>563</v>
      </c>
      <c r="L40" s="763"/>
      <c r="M40" s="831" t="s">
        <v>491</v>
      </c>
      <c r="N40" s="878" t="str">
        <f>IF($K$33&lt;=$O$33,"――",0.29/($K$33/$O$33)^2*VLOOKUP($F$1,$AC$30:$AE$36,2,FALSE))</f>
        <v>――</v>
      </c>
      <c r="O40" s="809"/>
      <c r="P40" s="880" t="s">
        <v>492</v>
      </c>
      <c r="Q40" s="763"/>
      <c r="R40" s="376"/>
      <c r="S40" s="376"/>
      <c r="T40" s="362"/>
      <c r="U40" s="362"/>
      <c r="V40" s="362"/>
      <c r="W40" s="362"/>
      <c r="X40" s="362"/>
      <c r="Y40" s="362"/>
      <c r="Z40" s="362"/>
      <c r="AA40" s="64"/>
      <c r="AB40" s="64"/>
      <c r="AC40" s="72"/>
      <c r="AD40" s="261"/>
      <c r="AE40" s="261"/>
      <c r="AF40" s="261"/>
      <c r="AG40" s="261"/>
      <c r="AH40" s="331"/>
      <c r="AI40" s="331"/>
    </row>
    <row r="41" spans="1:35" s="22" customFormat="1" ht="18" customHeight="1">
      <c r="A41" s="362"/>
      <c r="B41" s="362"/>
      <c r="C41" s="362"/>
      <c r="D41" s="362"/>
      <c r="E41" s="369"/>
      <c r="F41" s="831"/>
      <c r="G41" s="831"/>
      <c r="H41" s="881" t="s">
        <v>494</v>
      </c>
      <c r="I41" s="813"/>
      <c r="J41" s="813"/>
      <c r="K41" s="763"/>
      <c r="L41" s="763"/>
      <c r="M41" s="831"/>
      <c r="N41" s="809"/>
      <c r="O41" s="809"/>
      <c r="P41" s="763"/>
      <c r="Q41" s="763"/>
      <c r="R41" s="376"/>
      <c r="S41" s="376"/>
      <c r="T41" s="362"/>
      <c r="U41" s="362"/>
      <c r="V41" s="362"/>
      <c r="W41" s="362"/>
      <c r="X41" s="362"/>
      <c r="Y41" s="362"/>
      <c r="Z41" s="362"/>
      <c r="AA41" s="64"/>
      <c r="AB41" s="72"/>
      <c r="AC41" s="261"/>
      <c r="AD41" s="261"/>
      <c r="AE41" s="261"/>
      <c r="AF41" s="261"/>
      <c r="AG41" s="261"/>
      <c r="AH41" s="331"/>
      <c r="AI41" s="331"/>
    </row>
    <row r="42" spans="1:35" s="22" customFormat="1" ht="18" customHeight="1">
      <c r="A42" s="362"/>
      <c r="B42" s="362"/>
      <c r="C42" s="362"/>
      <c r="D42" s="369"/>
      <c r="E42" s="369"/>
      <c r="F42" s="369"/>
      <c r="G42" s="369"/>
      <c r="H42" s="369"/>
      <c r="I42" s="42"/>
      <c r="J42" s="42"/>
      <c r="K42" s="42"/>
      <c r="L42" s="42"/>
      <c r="M42" s="369"/>
      <c r="N42" s="42"/>
      <c r="O42" s="42"/>
      <c r="P42" s="42"/>
      <c r="Q42" s="374"/>
      <c r="R42" s="376"/>
      <c r="S42" s="376"/>
      <c r="T42" s="362"/>
      <c r="U42" s="362"/>
      <c r="V42" s="362"/>
      <c r="W42" s="362"/>
      <c r="X42" s="362"/>
      <c r="Y42" s="362"/>
      <c r="Z42" s="362"/>
      <c r="AA42" s="362"/>
      <c r="AB42" s="72"/>
      <c r="AC42" s="261"/>
      <c r="AD42" s="261"/>
      <c r="AE42" s="261"/>
      <c r="AF42" s="261"/>
      <c r="AG42" s="261"/>
      <c r="AH42" s="331"/>
      <c r="AI42" s="331"/>
    </row>
    <row r="43" spans="1:35" s="22" customFormat="1" ht="18" customHeight="1">
      <c r="A43" s="362"/>
      <c r="B43" s="362"/>
      <c r="C43" s="362"/>
      <c r="D43" s="831" t="s">
        <v>560</v>
      </c>
      <c r="E43" s="831" t="s">
        <v>111</v>
      </c>
      <c r="F43" s="844" t="s">
        <v>135</v>
      </c>
      <c r="G43" s="844"/>
      <c r="H43" s="831" t="s">
        <v>111</v>
      </c>
      <c r="I43" s="837">
        <f>$L$26</f>
        <v>4647</v>
      </c>
      <c r="J43" s="837"/>
      <c r="K43" s="837"/>
      <c r="L43" s="831" t="s">
        <v>491</v>
      </c>
      <c r="M43" s="878">
        <f>$I$43/$I$44</f>
        <v>5.2</v>
      </c>
      <c r="N43" s="878"/>
      <c r="O43" s="851" t="s">
        <v>495</v>
      </c>
      <c r="P43" s="851"/>
      <c r="Q43" s="831" t="e">
        <f>IF($M$43&lt;=$F$46,"＜","＞")</f>
        <v>#VALUE!</v>
      </c>
      <c r="R43" s="831" t="s">
        <v>496</v>
      </c>
      <c r="S43" s="831"/>
      <c r="T43" s="531"/>
      <c r="U43" s="850">
        <v>1.3</v>
      </c>
      <c r="V43" s="850"/>
      <c r="W43" s="832" t="s">
        <v>497</v>
      </c>
      <c r="X43" s="878" t="str">
        <f>$N$40</f>
        <v>――</v>
      </c>
      <c r="Y43" s="847"/>
      <c r="Z43" s="369"/>
      <c r="AA43" s="64"/>
      <c r="AB43" s="64"/>
      <c r="AC43" s="72"/>
      <c r="AD43" s="261"/>
      <c r="AE43" s="261"/>
      <c r="AF43" s="261"/>
      <c r="AG43" s="261"/>
      <c r="AH43" s="331"/>
      <c r="AI43" s="331"/>
    </row>
    <row r="44" spans="1:35" s="22" customFormat="1" ht="18" customHeight="1">
      <c r="A44" s="362"/>
      <c r="B44" s="362"/>
      <c r="C44" s="362"/>
      <c r="D44" s="831"/>
      <c r="E44" s="831"/>
      <c r="F44" s="831" t="s">
        <v>498</v>
      </c>
      <c r="G44" s="831"/>
      <c r="H44" s="831"/>
      <c r="I44" s="879">
        <f>VLOOKUP($F$1,'使用材一覧'!$AC$6:$AJ$12,8,FALSE)</f>
        <v>892.7</v>
      </c>
      <c r="J44" s="879"/>
      <c r="K44" s="879"/>
      <c r="L44" s="831"/>
      <c r="M44" s="878"/>
      <c r="N44" s="878"/>
      <c r="O44" s="851"/>
      <c r="P44" s="851"/>
      <c r="Q44" s="831"/>
      <c r="R44" s="831"/>
      <c r="S44" s="831"/>
      <c r="T44" s="531"/>
      <c r="U44" s="850"/>
      <c r="V44" s="850"/>
      <c r="W44" s="832"/>
      <c r="X44" s="847"/>
      <c r="Y44" s="847"/>
      <c r="Z44" s="369"/>
      <c r="AA44" s="64"/>
      <c r="AB44" s="72"/>
      <c r="AC44" s="261"/>
      <c r="AD44" s="261"/>
      <c r="AE44" s="261"/>
      <c r="AF44" s="261"/>
      <c r="AG44" s="261"/>
      <c r="AH44" s="331"/>
      <c r="AI44" s="331"/>
    </row>
    <row r="45" spans="1:35" s="22" customFormat="1" ht="18" customHeight="1">
      <c r="A45" s="362"/>
      <c r="B45" s="362"/>
      <c r="C45" s="362"/>
      <c r="D45" s="369"/>
      <c r="E45" s="369"/>
      <c r="F45" s="369"/>
      <c r="G45" s="369"/>
      <c r="H45" s="369"/>
      <c r="I45" s="71"/>
      <c r="J45" s="71"/>
      <c r="K45" s="71"/>
      <c r="L45" s="369"/>
      <c r="M45" s="69"/>
      <c r="N45" s="69"/>
      <c r="O45" s="375"/>
      <c r="P45" s="375"/>
      <c r="Q45" s="369"/>
      <c r="R45" s="369"/>
      <c r="S45" s="369"/>
      <c r="T45" s="173"/>
      <c r="U45" s="362"/>
      <c r="V45" s="362"/>
      <c r="W45" s="364"/>
      <c r="X45" s="67"/>
      <c r="Y45" s="67"/>
      <c r="Z45" s="369"/>
      <c r="AA45" s="64"/>
      <c r="AB45" s="72"/>
      <c r="AC45" s="261"/>
      <c r="AD45" s="261"/>
      <c r="AE45" s="261"/>
      <c r="AF45" s="261"/>
      <c r="AG45" s="261"/>
      <c r="AH45" s="331"/>
      <c r="AI45" s="331"/>
    </row>
    <row r="46" spans="1:35" s="22" customFormat="1" ht="18" customHeight="1">
      <c r="A46" s="362"/>
      <c r="B46" s="362"/>
      <c r="C46" s="368"/>
      <c r="D46" s="362"/>
      <c r="E46" s="368" t="s">
        <v>491</v>
      </c>
      <c r="F46" s="877" t="e">
        <f>$U$43*$X$43</f>
        <v>#VALUE!</v>
      </c>
      <c r="G46" s="877"/>
      <c r="H46" s="362" t="s">
        <v>492</v>
      </c>
      <c r="I46" s="362"/>
      <c r="J46" s="362"/>
      <c r="K46" s="842" t="e">
        <f>IF($M$43&lt;=$F$46,"","OUT")</f>
        <v>#VALUE!</v>
      </c>
      <c r="L46" s="843"/>
      <c r="M46" s="843"/>
      <c r="N46" s="362"/>
      <c r="O46" s="362"/>
      <c r="P46" s="362"/>
      <c r="Q46" s="362"/>
      <c r="R46" s="36"/>
      <c r="S46" s="36"/>
      <c r="T46" s="362"/>
      <c r="U46" s="362"/>
      <c r="V46" s="362"/>
      <c r="W46" s="362"/>
      <c r="X46" s="378"/>
      <c r="Y46" s="378"/>
      <c r="Z46" s="378"/>
      <c r="AA46" s="378"/>
      <c r="AB46" s="64"/>
      <c r="AC46" s="72"/>
      <c r="AD46" s="261"/>
      <c r="AE46" s="261"/>
      <c r="AF46" s="261"/>
      <c r="AG46" s="261"/>
      <c r="AH46" s="331"/>
      <c r="AI46" s="331"/>
    </row>
    <row r="47" spans="1:35" s="22" customFormat="1" ht="18" customHeight="1">
      <c r="A47" s="362"/>
      <c r="B47" s="36"/>
      <c r="C47" s="36"/>
      <c r="D47" s="368"/>
      <c r="E47" s="368"/>
      <c r="F47" s="368"/>
      <c r="G47" s="379"/>
      <c r="H47" s="374"/>
      <c r="I47" s="364"/>
      <c r="J47" s="380"/>
      <c r="K47" s="380"/>
      <c r="L47" s="380"/>
      <c r="M47" s="366"/>
      <c r="N47" s="366"/>
      <c r="O47" s="362"/>
      <c r="P47" s="362"/>
      <c r="Q47" s="362"/>
      <c r="R47" s="36"/>
      <c r="S47" s="36"/>
      <c r="T47" s="362"/>
      <c r="U47" s="362"/>
      <c r="V47" s="362"/>
      <c r="W47" s="362"/>
      <c r="X47" s="362"/>
      <c r="Y47" s="362"/>
      <c r="Z47" s="362"/>
      <c r="AA47" s="362"/>
      <c r="AB47" s="261"/>
      <c r="AC47" s="261"/>
      <c r="AD47" s="261"/>
      <c r="AE47" s="261"/>
      <c r="AF47" s="261"/>
      <c r="AG47" s="261"/>
      <c r="AH47" s="331"/>
      <c r="AI47" s="331"/>
    </row>
    <row r="48" spans="1:35" ht="18" customHeight="1">
      <c r="A48" s="36"/>
      <c r="B48" s="72" t="s">
        <v>201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80"/>
      <c r="AE48" s="80"/>
      <c r="AF48" s="80"/>
      <c r="AG48" s="80"/>
      <c r="AH48" s="17"/>
      <c r="AI48" s="17"/>
    </row>
    <row r="49" spans="1:35" ht="18" customHeight="1">
      <c r="A49" s="36"/>
      <c r="B49" s="36"/>
      <c r="C49" s="36" t="s">
        <v>764</v>
      </c>
      <c r="D49" s="36"/>
      <c r="E49" s="36"/>
      <c r="F49" s="65" t="str">
        <f>'使用材一覧'!$L$12</f>
        <v>□75×3.2(STKR400)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80"/>
      <c r="AE49" s="80"/>
      <c r="AF49" s="80"/>
      <c r="AG49" s="80"/>
      <c r="AH49" s="17"/>
      <c r="AI49" s="17"/>
    </row>
    <row r="50" spans="1:35" ht="18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80"/>
      <c r="AE50" s="80"/>
      <c r="AF50" s="80"/>
      <c r="AG50" s="80"/>
      <c r="AH50" s="17"/>
      <c r="AI50" s="17"/>
    </row>
    <row r="51" spans="1:35" ht="18" customHeight="1">
      <c r="A51" s="36"/>
      <c r="B51" s="36"/>
      <c r="C51" s="36"/>
      <c r="D51" s="36"/>
      <c r="E51" s="888">
        <f>'朝顔'!$D$8-150</f>
        <v>1150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80"/>
      <c r="AE51" s="80"/>
      <c r="AF51" s="80"/>
      <c r="AG51" s="80"/>
      <c r="AH51" s="17"/>
      <c r="AI51" s="17"/>
    </row>
    <row r="52" spans="1:35" ht="18" customHeight="1">
      <c r="A52" s="36"/>
      <c r="B52" s="36"/>
      <c r="C52" s="36"/>
      <c r="D52" s="36"/>
      <c r="E52" s="889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80"/>
      <c r="AE52" s="80"/>
      <c r="AF52" s="80"/>
      <c r="AG52" s="80"/>
      <c r="AH52" s="17"/>
      <c r="AI52" s="17"/>
    </row>
    <row r="53" spans="1:35" ht="18" customHeight="1">
      <c r="A53" s="36"/>
      <c r="B53" s="36"/>
      <c r="C53" s="36"/>
      <c r="D53" s="36"/>
      <c r="E53" s="889"/>
      <c r="F53" s="36"/>
      <c r="G53" s="36" t="s">
        <v>499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80"/>
      <c r="AE53" s="80"/>
      <c r="AF53" s="80"/>
      <c r="AG53" s="80"/>
      <c r="AH53" s="17"/>
      <c r="AI53" s="17"/>
    </row>
    <row r="54" spans="1:35" ht="18" customHeight="1">
      <c r="A54" s="36"/>
      <c r="B54" s="36"/>
      <c r="C54" s="36"/>
      <c r="D54" s="36"/>
      <c r="E54" s="887" t="s">
        <v>500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80"/>
      <c r="AE54" s="80"/>
      <c r="AF54" s="80"/>
      <c r="AG54" s="80"/>
      <c r="AH54" s="17"/>
      <c r="AI54" s="17"/>
    </row>
    <row r="55" spans="1:35" ht="18" customHeight="1">
      <c r="A55" s="36"/>
      <c r="B55" s="36"/>
      <c r="C55" s="36"/>
      <c r="D55" s="36"/>
      <c r="E55" s="88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186"/>
      <c r="S55" s="18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80"/>
      <c r="AE55" s="80"/>
      <c r="AF55" s="80"/>
      <c r="AG55" s="80"/>
      <c r="AH55" s="17"/>
      <c r="AI55" s="17"/>
    </row>
    <row r="56" spans="1:35" ht="18" customHeight="1">
      <c r="A56" s="36"/>
      <c r="B56" s="186"/>
      <c r="C56" s="186"/>
      <c r="D56" s="36"/>
      <c r="E56" s="3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544">
        <f>SQRT($C$11^2+($H$19+$L$19)^2)</f>
        <v>3247</v>
      </c>
      <c r="Q56" s="544"/>
      <c r="R56" s="186"/>
      <c r="S56" s="18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80"/>
      <c r="AE56" s="80"/>
      <c r="AF56" s="80"/>
      <c r="AG56" s="80"/>
      <c r="AH56" s="17"/>
      <c r="AI56" s="17"/>
    </row>
    <row r="57" spans="1:35" ht="18" customHeight="1">
      <c r="A57" s="186"/>
      <c r="B57" s="186"/>
      <c r="C57" s="186"/>
      <c r="D57" s="186"/>
      <c r="E57" s="888">
        <f>'朝顔'!$C$12-$E$51</f>
        <v>2500</v>
      </c>
      <c r="F57" s="888">
        <f>'朝顔'!$C$12/3*2</f>
        <v>2433</v>
      </c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353" t="s">
        <v>501</v>
      </c>
      <c r="T57" s="353"/>
      <c r="U57" s="353"/>
      <c r="V57" s="186"/>
      <c r="W57" s="186"/>
      <c r="X57" s="186"/>
      <c r="Y57" s="186"/>
      <c r="Z57" s="186"/>
      <c r="AA57" s="186"/>
      <c r="AB57" s="186"/>
      <c r="AC57" s="186"/>
      <c r="AD57" s="80"/>
      <c r="AE57" s="80"/>
      <c r="AF57" s="80"/>
      <c r="AG57" s="80"/>
      <c r="AH57" s="17"/>
      <c r="AI57" s="17"/>
    </row>
    <row r="58" spans="1:35" ht="18" customHeight="1">
      <c r="A58" s="186"/>
      <c r="B58" s="186"/>
      <c r="C58" s="186"/>
      <c r="D58" s="186"/>
      <c r="E58" s="890"/>
      <c r="F58" s="889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72" t="s">
        <v>502</v>
      </c>
      <c r="T58" s="783">
        <f>'朝顔'!$P$6</f>
        <v>1800</v>
      </c>
      <c r="U58" s="783"/>
      <c r="V58" s="186"/>
      <c r="W58" s="186"/>
      <c r="X58" s="186"/>
      <c r="Y58" s="186"/>
      <c r="Z58" s="186"/>
      <c r="AA58" s="186"/>
      <c r="AB58" s="186"/>
      <c r="AC58" s="186"/>
      <c r="AD58" s="80"/>
      <c r="AE58" s="80"/>
      <c r="AF58" s="80"/>
      <c r="AG58" s="80"/>
      <c r="AH58" s="17"/>
      <c r="AI58" s="17"/>
    </row>
    <row r="59" spans="1:35" ht="18" customHeight="1">
      <c r="A59" s="186"/>
      <c r="B59" s="186"/>
      <c r="C59" s="186"/>
      <c r="D59" s="186"/>
      <c r="E59" s="890"/>
      <c r="F59" s="889"/>
      <c r="G59" s="186"/>
      <c r="H59" s="186"/>
      <c r="I59" s="36" t="s">
        <v>503</v>
      </c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80"/>
      <c r="AE59" s="80"/>
      <c r="AF59" s="80"/>
      <c r="AG59" s="80"/>
      <c r="AH59" s="17"/>
      <c r="AI59" s="17"/>
    </row>
    <row r="60" spans="1:35" ht="18" customHeight="1">
      <c r="A60" s="186"/>
      <c r="B60" s="186"/>
      <c r="C60" s="186"/>
      <c r="D60" s="186"/>
      <c r="E60" s="887" t="s">
        <v>504</v>
      </c>
      <c r="F60" s="414" t="s">
        <v>505</v>
      </c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80"/>
      <c r="S60" s="80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80"/>
      <c r="AE60" s="80"/>
      <c r="AF60" s="80"/>
      <c r="AG60" s="80"/>
      <c r="AH60" s="17"/>
      <c r="AI60" s="17"/>
    </row>
    <row r="61" spans="1:35" ht="18" customHeight="1">
      <c r="A61" s="186"/>
      <c r="B61" s="80"/>
      <c r="C61" s="80"/>
      <c r="D61" s="186"/>
      <c r="E61" s="887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80"/>
      <c r="S61" s="80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80"/>
      <c r="AE61" s="80"/>
      <c r="AF61" s="80"/>
      <c r="AG61" s="80"/>
      <c r="AH61" s="17"/>
      <c r="AI61" s="17"/>
    </row>
    <row r="62" spans="1:35" ht="18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17"/>
      <c r="AI62" s="17"/>
    </row>
    <row r="63" spans="1:35" ht="18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17"/>
      <c r="AI63" s="17"/>
    </row>
    <row r="64" spans="1:35" ht="18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17"/>
      <c r="AI64" s="17"/>
    </row>
    <row r="65" spans="1:35" ht="18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33">
        <f>'朝顔'!$J$2/3*2</f>
        <v>1000</v>
      </c>
      <c r="L65" s="833"/>
      <c r="M65" s="833"/>
      <c r="N65" s="80"/>
      <c r="O65" s="833">
        <f>'朝顔'!$O$24</f>
        <v>1150</v>
      </c>
      <c r="P65" s="833"/>
      <c r="Q65" s="833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17"/>
      <c r="AI65" s="17"/>
    </row>
    <row r="66" spans="1:35" ht="18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17"/>
      <c r="AI66" s="17"/>
    </row>
    <row r="67" spans="1:35" ht="18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17"/>
      <c r="AI67" s="17"/>
    </row>
    <row r="68" spans="1:35" ht="18" customHeight="1">
      <c r="A68" s="80"/>
      <c r="B68" s="80"/>
      <c r="C68" s="72" t="s">
        <v>226</v>
      </c>
      <c r="D68" s="72"/>
      <c r="E68" s="72"/>
      <c r="F68" s="72" t="s">
        <v>564</v>
      </c>
      <c r="G68" s="72"/>
      <c r="H68" s="72"/>
      <c r="I68" s="72"/>
      <c r="J68" s="72"/>
      <c r="K68" s="544">
        <f>'朝顔'!$T$65</f>
        <v>334</v>
      </c>
      <c r="L68" s="829"/>
      <c r="M68" s="340" t="s">
        <v>418</v>
      </c>
      <c r="N68" s="814">
        <f>'建地'!$W$20/1000</f>
        <v>1</v>
      </c>
      <c r="O68" s="814"/>
      <c r="P68" s="340" t="s">
        <v>419</v>
      </c>
      <c r="Q68" s="544">
        <f>$K$68*$N$68</f>
        <v>334</v>
      </c>
      <c r="R68" s="544"/>
      <c r="S68" s="72" t="s">
        <v>458</v>
      </c>
      <c r="T68" s="72"/>
      <c r="U68" s="72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17"/>
      <c r="AI68" s="17"/>
    </row>
    <row r="69" spans="1:35" ht="18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17"/>
      <c r="AI69" s="17"/>
    </row>
    <row r="70" spans="1:35" ht="18" customHeight="1">
      <c r="A70" s="80"/>
      <c r="B70" s="80"/>
      <c r="C70" s="80"/>
      <c r="D70" s="80"/>
      <c r="E70" s="80"/>
      <c r="F70" s="72" t="s">
        <v>565</v>
      </c>
      <c r="G70" s="72"/>
      <c r="H70" s="72"/>
      <c r="I70" s="72"/>
      <c r="J70" s="72"/>
      <c r="K70" s="544">
        <f>'対応策2)'!$T$28</f>
        <v>94</v>
      </c>
      <c r="L70" s="829"/>
      <c r="M70" s="340" t="s">
        <v>418</v>
      </c>
      <c r="N70" s="814">
        <f>'建地'!$W$20/1000</f>
        <v>1</v>
      </c>
      <c r="O70" s="814"/>
      <c r="P70" s="340" t="s">
        <v>419</v>
      </c>
      <c r="Q70" s="544">
        <f>$K$70*$N$70</f>
        <v>94</v>
      </c>
      <c r="R70" s="544"/>
      <c r="S70" s="72" t="s">
        <v>458</v>
      </c>
      <c r="T70" s="72"/>
      <c r="U70" s="72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17"/>
      <c r="AI70" s="17"/>
    </row>
    <row r="71" spans="1:35" ht="18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17"/>
      <c r="AI71" s="17"/>
    </row>
    <row r="72" spans="1:35" ht="18" customHeight="1">
      <c r="A72" s="79"/>
      <c r="B72" s="79" t="s">
        <v>175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80"/>
      <c r="AC72" s="80"/>
      <c r="AD72" s="80"/>
      <c r="AE72" s="80"/>
      <c r="AF72" s="80"/>
      <c r="AG72" s="80"/>
      <c r="AH72" s="17"/>
      <c r="AI72" s="17"/>
    </row>
    <row r="73" spans="1:35" ht="18" customHeight="1">
      <c r="A73" s="362"/>
      <c r="B73" s="831" t="s">
        <v>506</v>
      </c>
      <c r="C73" s="831" t="s">
        <v>507</v>
      </c>
      <c r="D73" s="405" t="s">
        <v>566</v>
      </c>
      <c r="E73" s="406"/>
      <c r="F73" s="407"/>
      <c r="G73" s="407"/>
      <c r="H73" s="407"/>
      <c r="I73" s="407"/>
      <c r="J73" s="407"/>
      <c r="K73" s="407"/>
      <c r="L73" s="407"/>
      <c r="M73" s="364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65"/>
      <c r="Y73" s="362"/>
      <c r="Z73" s="64"/>
      <c r="AA73" s="72"/>
      <c r="AB73" s="80"/>
      <c r="AC73" s="80"/>
      <c r="AD73" s="80"/>
      <c r="AE73" s="80"/>
      <c r="AF73" s="80"/>
      <c r="AG73" s="80"/>
      <c r="AH73" s="17"/>
      <c r="AI73" s="17"/>
    </row>
    <row r="74" spans="1:35" ht="18" customHeight="1">
      <c r="A74" s="362"/>
      <c r="B74" s="831"/>
      <c r="C74" s="831"/>
      <c r="D74" s="408"/>
      <c r="E74" s="408"/>
      <c r="F74" s="373"/>
      <c r="G74" s="373" t="s">
        <v>508</v>
      </c>
      <c r="H74" s="80"/>
      <c r="I74" s="373"/>
      <c r="J74" s="373"/>
      <c r="K74" s="373"/>
      <c r="L74" s="373"/>
      <c r="M74" s="362"/>
      <c r="N74" s="362"/>
      <c r="O74" s="362"/>
      <c r="P74" s="362"/>
      <c r="Q74" s="362"/>
      <c r="R74" s="65"/>
      <c r="S74" s="362"/>
      <c r="T74" s="362"/>
      <c r="U74" s="362"/>
      <c r="V74" s="362"/>
      <c r="W74" s="362"/>
      <c r="X74" s="362"/>
      <c r="Y74" s="362"/>
      <c r="Z74" s="64"/>
      <c r="AA74" s="72"/>
      <c r="AB74" s="80"/>
      <c r="AC74" s="80"/>
      <c r="AD74" s="80"/>
      <c r="AE74" s="80"/>
      <c r="AF74" s="80"/>
      <c r="AG74" s="80"/>
      <c r="AH74" s="17"/>
      <c r="AI74" s="17"/>
    </row>
    <row r="75" spans="1:35" ht="18" customHeight="1">
      <c r="A75" s="362"/>
      <c r="B75" s="369"/>
      <c r="C75" s="369"/>
      <c r="D75" s="369"/>
      <c r="E75" s="369"/>
      <c r="F75" s="362"/>
      <c r="G75" s="369"/>
      <c r="H75" s="362"/>
      <c r="I75" s="362"/>
      <c r="J75" s="362"/>
      <c r="K75" s="362"/>
      <c r="L75" s="362"/>
      <c r="M75" s="364"/>
      <c r="N75" s="362"/>
      <c r="O75" s="362"/>
      <c r="P75" s="364"/>
      <c r="Q75" s="362"/>
      <c r="R75" s="65"/>
      <c r="S75" s="362"/>
      <c r="T75" s="364"/>
      <c r="U75" s="365"/>
      <c r="V75" s="365"/>
      <c r="W75" s="362"/>
      <c r="X75" s="362"/>
      <c r="Y75" s="362"/>
      <c r="Z75" s="64"/>
      <c r="AA75" s="72"/>
      <c r="AB75" s="80"/>
      <c r="AC75" s="80"/>
      <c r="AD75" s="80"/>
      <c r="AE75" s="80"/>
      <c r="AF75" s="80"/>
      <c r="AG75" s="80"/>
      <c r="AH75" s="17"/>
      <c r="AI75" s="17"/>
    </row>
    <row r="76" spans="1:35" ht="18" customHeight="1">
      <c r="A76" s="362"/>
      <c r="B76" s="369"/>
      <c r="C76" s="831" t="s">
        <v>509</v>
      </c>
      <c r="D76" s="834">
        <f>$Q$68</f>
        <v>334</v>
      </c>
      <c r="E76" s="834"/>
      <c r="F76" s="371" t="s">
        <v>471</v>
      </c>
      <c r="G76" s="835">
        <f>$E$57/1000</f>
        <v>2.5</v>
      </c>
      <c r="H76" s="835"/>
      <c r="I76" s="372" t="s">
        <v>472</v>
      </c>
      <c r="J76" s="428" t="s">
        <v>510</v>
      </c>
      <c r="K76" s="371">
        <v>2</v>
      </c>
      <c r="L76" s="371" t="s">
        <v>471</v>
      </c>
      <c r="M76" s="834">
        <f>$Q$70</f>
        <v>94</v>
      </c>
      <c r="N76" s="834"/>
      <c r="O76" s="371" t="s">
        <v>471</v>
      </c>
      <c r="P76" s="835">
        <f>$E$57/1000</f>
        <v>2.5</v>
      </c>
      <c r="Q76" s="835"/>
      <c r="R76" s="371" t="s">
        <v>471</v>
      </c>
      <c r="S76" s="835">
        <f>$E$51/1000</f>
        <v>1.15</v>
      </c>
      <c r="T76" s="835"/>
      <c r="U76" s="371" t="s">
        <v>510</v>
      </c>
      <c r="V76" s="834">
        <f>$Q$70</f>
        <v>94</v>
      </c>
      <c r="W76" s="834"/>
      <c r="X76" s="371" t="s">
        <v>471</v>
      </c>
      <c r="Y76" s="835">
        <f>$E$51/1000</f>
        <v>1.15</v>
      </c>
      <c r="Z76" s="835"/>
      <c r="AA76" s="372" t="s">
        <v>472</v>
      </c>
      <c r="AB76" s="80"/>
      <c r="AC76" s="80"/>
      <c r="AD76" s="80"/>
      <c r="AE76" s="80"/>
      <c r="AF76" s="80"/>
      <c r="AG76" s="80"/>
      <c r="AH76" s="17"/>
      <c r="AI76" s="17"/>
    </row>
    <row r="77" spans="1:35" ht="18" customHeight="1">
      <c r="A77" s="362"/>
      <c r="B77" s="369"/>
      <c r="C77" s="831"/>
      <c r="D77" s="369"/>
      <c r="E77" s="369"/>
      <c r="F77" s="362"/>
      <c r="G77" s="369"/>
      <c r="H77" s="362"/>
      <c r="I77" s="362"/>
      <c r="J77" s="362"/>
      <c r="K77" s="362"/>
      <c r="L77" s="362"/>
      <c r="M77" s="362"/>
      <c r="N77" s="362"/>
      <c r="O77" s="373">
        <v>2</v>
      </c>
      <c r="P77" s="362"/>
      <c r="Q77" s="362"/>
      <c r="R77" s="65"/>
      <c r="S77" s="362"/>
      <c r="T77" s="362"/>
      <c r="U77" s="409"/>
      <c r="V77" s="409"/>
      <c r="W77" s="362"/>
      <c r="X77" s="362"/>
      <c r="Y77" s="362"/>
      <c r="Z77" s="64"/>
      <c r="AA77" s="72"/>
      <c r="AB77" s="80"/>
      <c r="AC77" s="80"/>
      <c r="AD77" s="80"/>
      <c r="AE77" s="80"/>
      <c r="AF77" s="80"/>
      <c r="AG77" s="80"/>
      <c r="AH77" s="17"/>
      <c r="AI77" s="17"/>
    </row>
    <row r="78" spans="1:35" ht="18" customHeight="1">
      <c r="A78" s="362"/>
      <c r="B78" s="369"/>
      <c r="C78" s="369"/>
      <c r="D78" s="369"/>
      <c r="E78" s="369"/>
      <c r="F78" s="362"/>
      <c r="G78" s="369"/>
      <c r="H78" s="362"/>
      <c r="I78" s="362"/>
      <c r="J78" s="362"/>
      <c r="K78" s="362"/>
      <c r="L78" s="362"/>
      <c r="M78" s="364"/>
      <c r="N78" s="362"/>
      <c r="O78" s="362"/>
      <c r="P78" s="364"/>
      <c r="Q78" s="362"/>
      <c r="R78" s="65"/>
      <c r="S78" s="362"/>
      <c r="T78" s="364"/>
      <c r="U78" s="365"/>
      <c r="V78" s="365"/>
      <c r="W78" s="362"/>
      <c r="X78" s="362"/>
      <c r="Y78" s="362"/>
      <c r="Z78" s="64"/>
      <c r="AA78" s="72"/>
      <c r="AB78" s="80"/>
      <c r="AC78" s="417" t="s">
        <v>118</v>
      </c>
      <c r="AD78" s="80"/>
      <c r="AE78" s="80"/>
      <c r="AF78" s="80"/>
      <c r="AG78" s="80"/>
      <c r="AH78" s="17"/>
      <c r="AI78" s="17"/>
    </row>
    <row r="79" spans="1:35" ht="18" customHeight="1">
      <c r="A79" s="362"/>
      <c r="B79" s="369"/>
      <c r="C79" s="369" t="s">
        <v>509</v>
      </c>
      <c r="D79" s="838">
        <f>($D$76*$G$76^2+$K$76*$M$76*$P$76*$S$76+$V$76*$Y$76^2)/2/($F$57/1000)</f>
        <v>566</v>
      </c>
      <c r="E79" s="838"/>
      <c r="F79" s="366" t="s">
        <v>91</v>
      </c>
      <c r="G79" s="362"/>
      <c r="H79" s="362"/>
      <c r="I79" s="364"/>
      <c r="J79" s="362"/>
      <c r="K79" s="65"/>
      <c r="L79" s="362"/>
      <c r="M79" s="364"/>
      <c r="N79" s="374"/>
      <c r="O79" s="374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64"/>
      <c r="AA79" s="72"/>
      <c r="AB79" s="80"/>
      <c r="AC79" s="417" t="s">
        <v>119</v>
      </c>
      <c r="AD79" s="80"/>
      <c r="AE79" s="80"/>
      <c r="AF79" s="80"/>
      <c r="AG79" s="80"/>
      <c r="AH79" s="17"/>
      <c r="AI79" s="17"/>
    </row>
    <row r="80" spans="1:35" ht="18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17"/>
      <c r="AI80" s="17"/>
    </row>
    <row r="81" spans="1:35" ht="18" customHeight="1">
      <c r="A81" s="80"/>
      <c r="B81" s="72" t="s">
        <v>176</v>
      </c>
      <c r="C81" s="340"/>
      <c r="D81" s="340"/>
      <c r="E81" s="340"/>
      <c r="F81" s="340"/>
      <c r="G81" s="340"/>
      <c r="H81" s="340"/>
      <c r="I81" s="364"/>
      <c r="J81" s="72"/>
      <c r="K81" s="36"/>
      <c r="L81" s="167"/>
      <c r="M81" s="72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17"/>
      <c r="AI81" s="17"/>
    </row>
    <row r="82" spans="1:35" ht="18" customHeight="1">
      <c r="A82" s="80"/>
      <c r="B82" s="363"/>
      <c r="C82" s="802" t="s">
        <v>29</v>
      </c>
      <c r="D82" s="802" t="s">
        <v>111</v>
      </c>
      <c r="E82" s="838">
        <f>$D$79</f>
        <v>566</v>
      </c>
      <c r="F82" s="839"/>
      <c r="G82" s="832" t="s">
        <v>473</v>
      </c>
      <c r="H82" s="837">
        <f>$P$56</f>
        <v>3247</v>
      </c>
      <c r="I82" s="837"/>
      <c r="J82" s="832" t="s">
        <v>474</v>
      </c>
      <c r="K82" s="838">
        <f>$E$82*$H$82/$H$83</f>
        <v>1598</v>
      </c>
      <c r="L82" s="838"/>
      <c r="M82" s="812" t="s">
        <v>475</v>
      </c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17"/>
      <c r="AI82" s="17"/>
    </row>
    <row r="83" spans="1:35" ht="18" customHeight="1">
      <c r="A83" s="80"/>
      <c r="B83" s="363"/>
      <c r="C83" s="802"/>
      <c r="D83" s="802"/>
      <c r="E83" s="840"/>
      <c r="F83" s="840"/>
      <c r="G83" s="832"/>
      <c r="H83" s="836">
        <f>$O$65</f>
        <v>1150</v>
      </c>
      <c r="I83" s="836"/>
      <c r="J83" s="832"/>
      <c r="K83" s="840"/>
      <c r="L83" s="840"/>
      <c r="M83" s="812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554" t="s">
        <v>43</v>
      </c>
      <c r="AD83" s="418" t="s">
        <v>181</v>
      </c>
      <c r="AE83" s="418" t="s">
        <v>178</v>
      </c>
      <c r="AF83" s="80"/>
      <c r="AG83" s="80"/>
      <c r="AH83" s="17"/>
      <c r="AI83" s="17"/>
    </row>
    <row r="84" spans="1:35" ht="18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555"/>
      <c r="AD84" s="419" t="s">
        <v>511</v>
      </c>
      <c r="AE84" s="419" t="s">
        <v>512</v>
      </c>
      <c r="AF84" s="80"/>
      <c r="AG84" s="80"/>
      <c r="AH84" s="17"/>
      <c r="AI84" s="17"/>
    </row>
    <row r="85" spans="1:35" ht="18" customHeight="1">
      <c r="A85" s="362"/>
      <c r="B85" s="362" t="s">
        <v>202</v>
      </c>
      <c r="C85" s="362"/>
      <c r="D85" s="362"/>
      <c r="E85" s="362"/>
      <c r="F85" s="362"/>
      <c r="G85" s="79"/>
      <c r="H85" s="362" t="s">
        <v>203</v>
      </c>
      <c r="I85" s="79"/>
      <c r="J85" s="719" t="s">
        <v>119</v>
      </c>
      <c r="K85" s="719"/>
      <c r="L85" s="719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80"/>
      <c r="AC85" s="420" t="s">
        <v>479</v>
      </c>
      <c r="AD85" s="421">
        <v>355</v>
      </c>
      <c r="AE85" s="421">
        <v>96</v>
      </c>
      <c r="AF85" s="80"/>
      <c r="AG85" s="80"/>
      <c r="AH85" s="17"/>
      <c r="AI85" s="17"/>
    </row>
    <row r="86" spans="1:35" ht="18" customHeight="1">
      <c r="A86" s="362"/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65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80"/>
      <c r="AC86" s="422" t="s">
        <v>480</v>
      </c>
      <c r="AD86" s="423">
        <v>245</v>
      </c>
      <c r="AE86" s="423">
        <v>116</v>
      </c>
      <c r="AF86" s="80"/>
      <c r="AG86" s="80"/>
      <c r="AH86" s="17"/>
      <c r="AI86" s="17"/>
    </row>
    <row r="87" spans="1:35" ht="18" customHeight="1">
      <c r="A87" s="362"/>
      <c r="B87" s="362"/>
      <c r="C87" s="340" t="s">
        <v>364</v>
      </c>
      <c r="D87" s="369" t="str">
        <f>IF($K$82&lt;=$N$87,"＜","＞")</f>
        <v>＜</v>
      </c>
      <c r="E87" s="840" t="s">
        <v>513</v>
      </c>
      <c r="F87" s="531"/>
      <c r="G87" s="531"/>
      <c r="H87" s="832">
        <v>1.3</v>
      </c>
      <c r="I87" s="832"/>
      <c r="J87" s="364" t="s">
        <v>362</v>
      </c>
      <c r="K87" s="885">
        <f>VLOOKUP($J$85,'使用材一覧'!$M$38:$T$39,4,FALSE)</f>
        <v>3430</v>
      </c>
      <c r="L87" s="886"/>
      <c r="M87" s="364" t="s">
        <v>363</v>
      </c>
      <c r="N87" s="885">
        <f>$I$30*K87</f>
        <v>4459</v>
      </c>
      <c r="O87" s="886"/>
      <c r="P87" s="362" t="s">
        <v>364</v>
      </c>
      <c r="Q87" s="842">
        <f>IF($K$82&lt;=$N$87,"","NG")</f>
      </c>
      <c r="R87" s="843"/>
      <c r="S87" s="843"/>
      <c r="T87" s="362"/>
      <c r="U87" s="362"/>
      <c r="V87" s="362"/>
      <c r="W87" s="362"/>
      <c r="X87" s="362"/>
      <c r="Y87" s="362"/>
      <c r="Z87" s="362"/>
      <c r="AA87" s="362"/>
      <c r="AB87" s="80"/>
      <c r="AC87" s="422" t="s">
        <v>514</v>
      </c>
      <c r="AD87" s="423">
        <v>245</v>
      </c>
      <c r="AE87" s="423">
        <v>116</v>
      </c>
      <c r="AF87" s="80"/>
      <c r="AG87" s="80"/>
      <c r="AH87" s="17"/>
      <c r="AI87" s="17"/>
    </row>
    <row r="88" spans="1:35" ht="18" customHeight="1">
      <c r="A88" s="362"/>
      <c r="B88" s="362"/>
      <c r="C88" s="338"/>
      <c r="D88" s="369"/>
      <c r="E88" s="376"/>
      <c r="F88" s="376"/>
      <c r="G88" s="377"/>
      <c r="H88" s="362"/>
      <c r="I88" s="362"/>
      <c r="J88" s="364"/>
      <c r="K88" s="362"/>
      <c r="L88" s="65"/>
      <c r="M88" s="362"/>
      <c r="N88" s="364"/>
      <c r="O88" s="374"/>
      <c r="P88" s="374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80"/>
      <c r="AC88" s="422" t="s">
        <v>515</v>
      </c>
      <c r="AD88" s="423">
        <v>245</v>
      </c>
      <c r="AE88" s="423">
        <v>116</v>
      </c>
      <c r="AF88" s="80"/>
      <c r="AG88" s="80"/>
      <c r="AH88" s="17"/>
      <c r="AI88" s="17"/>
    </row>
    <row r="89" spans="1:35" ht="18" customHeight="1">
      <c r="A89" s="362"/>
      <c r="B89" s="362" t="s">
        <v>177</v>
      </c>
      <c r="C89" s="369"/>
      <c r="D89" s="369"/>
      <c r="E89" s="369"/>
      <c r="F89" s="369"/>
      <c r="G89" s="364"/>
      <c r="H89" s="65"/>
      <c r="I89" s="362"/>
      <c r="J89" s="364"/>
      <c r="K89" s="362"/>
      <c r="L89" s="65"/>
      <c r="M89" s="362"/>
      <c r="N89" s="364"/>
      <c r="O89" s="374"/>
      <c r="P89" s="374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80"/>
      <c r="AC89" s="422" t="s">
        <v>486</v>
      </c>
      <c r="AD89" s="423">
        <v>325</v>
      </c>
      <c r="AE89" s="423">
        <v>101</v>
      </c>
      <c r="AF89" s="80"/>
      <c r="AG89" s="80"/>
      <c r="AH89" s="17"/>
      <c r="AI89" s="17"/>
    </row>
    <row r="90" spans="1:35" ht="18" customHeight="1">
      <c r="A90" s="362"/>
      <c r="B90" s="362"/>
      <c r="C90" s="369"/>
      <c r="D90" s="369"/>
      <c r="E90" s="369"/>
      <c r="F90" s="369"/>
      <c r="G90" s="364"/>
      <c r="H90" s="362"/>
      <c r="I90" s="362"/>
      <c r="J90" s="364"/>
      <c r="K90" s="362"/>
      <c r="L90" s="65"/>
      <c r="M90" s="362"/>
      <c r="N90" s="364"/>
      <c r="O90" s="374"/>
      <c r="P90" s="374"/>
      <c r="Q90" s="376"/>
      <c r="R90" s="376"/>
      <c r="S90" s="362"/>
      <c r="T90" s="362"/>
      <c r="U90" s="362"/>
      <c r="V90" s="362"/>
      <c r="W90" s="362"/>
      <c r="X90" s="362"/>
      <c r="Y90" s="362"/>
      <c r="Z90" s="362"/>
      <c r="AA90" s="362"/>
      <c r="AB90" s="80"/>
      <c r="AC90" s="422" t="s">
        <v>487</v>
      </c>
      <c r="AD90" s="423">
        <v>325</v>
      </c>
      <c r="AE90" s="423">
        <v>101</v>
      </c>
      <c r="AF90" s="80"/>
      <c r="AG90" s="80"/>
      <c r="AH90" s="17"/>
      <c r="AI90" s="17"/>
    </row>
    <row r="91" spans="1:35" ht="18" customHeight="1">
      <c r="A91" s="362"/>
      <c r="B91" s="362"/>
      <c r="C91" s="831" t="s">
        <v>559</v>
      </c>
      <c r="D91" s="531" t="s">
        <v>111</v>
      </c>
      <c r="E91" s="370" t="s">
        <v>482</v>
      </c>
      <c r="F91" s="832" t="s">
        <v>321</v>
      </c>
      <c r="G91" s="837">
        <f>$P$56</f>
        <v>3247</v>
      </c>
      <c r="H91" s="837"/>
      <c r="I91" s="832" t="s">
        <v>321</v>
      </c>
      <c r="J91" s="838">
        <f>$G$91/$G$92</f>
        <v>112</v>
      </c>
      <c r="K91" s="838"/>
      <c r="L91" s="831" t="str">
        <f>IF($J$91&lt;=$N$91,"＜","＞")</f>
        <v>＜</v>
      </c>
      <c r="M91" s="850" t="s">
        <v>483</v>
      </c>
      <c r="N91" s="883">
        <f>VLOOKUP($F$49,$AC$85:$AE$91,3,FALSE)</f>
        <v>116</v>
      </c>
      <c r="O91" s="531"/>
      <c r="P91" s="364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80"/>
      <c r="AC91" s="425" t="s">
        <v>246</v>
      </c>
      <c r="AD91" s="426">
        <v>325</v>
      </c>
      <c r="AE91" s="426">
        <v>101</v>
      </c>
      <c r="AF91" s="80"/>
      <c r="AG91" s="80"/>
      <c r="AH91" s="17"/>
      <c r="AI91" s="17"/>
    </row>
    <row r="92" spans="1:35" ht="18" customHeight="1">
      <c r="A92" s="362"/>
      <c r="B92" s="362"/>
      <c r="C92" s="807"/>
      <c r="D92" s="531"/>
      <c r="E92" s="408" t="s">
        <v>485</v>
      </c>
      <c r="F92" s="832"/>
      <c r="G92" s="884">
        <f>'使用材一覧'!$P$18</f>
        <v>29.1</v>
      </c>
      <c r="H92" s="884"/>
      <c r="I92" s="832"/>
      <c r="J92" s="838"/>
      <c r="K92" s="838"/>
      <c r="L92" s="831"/>
      <c r="M92" s="850"/>
      <c r="N92" s="531"/>
      <c r="O92" s="531"/>
      <c r="P92" s="364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80"/>
      <c r="AC92" s="80"/>
      <c r="AD92" s="80"/>
      <c r="AE92" s="80"/>
      <c r="AF92" s="80"/>
      <c r="AG92" s="80"/>
      <c r="AH92" s="17"/>
      <c r="AI92" s="17"/>
    </row>
    <row r="93" spans="1:35" ht="18" customHeight="1">
      <c r="A93" s="362"/>
      <c r="B93" s="362"/>
      <c r="C93" s="42"/>
      <c r="D93" s="173"/>
      <c r="E93" s="369"/>
      <c r="F93" s="364"/>
      <c r="G93" s="429"/>
      <c r="H93" s="429"/>
      <c r="I93" s="364"/>
      <c r="J93" s="365"/>
      <c r="K93" s="365"/>
      <c r="L93" s="369"/>
      <c r="M93" s="362"/>
      <c r="N93" s="173"/>
      <c r="O93" s="173"/>
      <c r="P93" s="364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80"/>
      <c r="AC93" s="80"/>
      <c r="AD93" s="80"/>
      <c r="AE93" s="80"/>
      <c r="AF93" s="80"/>
      <c r="AG93" s="80"/>
      <c r="AH93" s="17"/>
      <c r="AI93" s="17"/>
    </row>
    <row r="94" spans="1:35" ht="18" customHeight="1">
      <c r="A94" s="362"/>
      <c r="B94" s="362"/>
      <c r="C94" s="42"/>
      <c r="D94" s="173"/>
      <c r="E94" s="369"/>
      <c r="F94" s="364"/>
      <c r="G94" s="429"/>
      <c r="H94" s="429"/>
      <c r="I94" s="364"/>
      <c r="J94" s="365"/>
      <c r="K94" s="365"/>
      <c r="L94" s="369"/>
      <c r="M94" s="362"/>
      <c r="N94" s="173"/>
      <c r="O94" s="173"/>
      <c r="P94" s="364"/>
      <c r="Q94" s="362"/>
      <c r="R94" s="362"/>
      <c r="S94" s="362"/>
      <c r="T94" s="362"/>
      <c r="U94" s="362"/>
      <c r="V94" s="362"/>
      <c r="W94" s="362"/>
      <c r="X94" s="362"/>
      <c r="Y94" s="362"/>
      <c r="Z94" s="362"/>
      <c r="AA94" s="362"/>
      <c r="AB94" s="80"/>
      <c r="AC94" s="80"/>
      <c r="AD94" s="80"/>
      <c r="AE94" s="80"/>
      <c r="AF94" s="80"/>
      <c r="AG94" s="80"/>
      <c r="AH94" s="17"/>
      <c r="AI94" s="17"/>
    </row>
    <row r="95" spans="1:35" ht="18" customHeight="1">
      <c r="A95" s="362"/>
      <c r="B95" s="362"/>
      <c r="C95" s="362"/>
      <c r="D95" s="424" t="s">
        <v>179</v>
      </c>
      <c r="E95" s="369"/>
      <c r="F95" s="369"/>
      <c r="G95" s="369"/>
      <c r="H95" s="364"/>
      <c r="I95" s="362"/>
      <c r="J95" s="362"/>
      <c r="K95" s="364"/>
      <c r="L95" s="362"/>
      <c r="M95" s="65"/>
      <c r="N95" s="362"/>
      <c r="O95" s="364"/>
      <c r="P95" s="374"/>
      <c r="Q95" s="374"/>
      <c r="R95" s="362"/>
      <c r="S95" s="362"/>
      <c r="T95" s="362"/>
      <c r="U95" s="362"/>
      <c r="V95" s="362"/>
      <c r="W95" s="362"/>
      <c r="X95" s="362"/>
      <c r="Y95" s="362"/>
      <c r="Z95" s="362"/>
      <c r="AA95" s="362"/>
      <c r="AB95" s="80"/>
      <c r="AC95" s="80"/>
      <c r="AD95" s="80"/>
      <c r="AE95" s="80"/>
      <c r="AF95" s="80"/>
      <c r="AG95" s="80"/>
      <c r="AH95" s="17"/>
      <c r="AI95" s="17"/>
    </row>
    <row r="96" spans="1:35" ht="18" customHeight="1">
      <c r="A96" s="362"/>
      <c r="B96" s="362"/>
      <c r="C96" s="427"/>
      <c r="D96" s="369"/>
      <c r="E96" s="831" t="s">
        <v>489</v>
      </c>
      <c r="F96" s="831"/>
      <c r="G96" s="844" t="s">
        <v>490</v>
      </c>
      <c r="H96" s="844"/>
      <c r="I96" s="516"/>
      <c r="J96" s="516"/>
      <c r="K96" s="516"/>
      <c r="L96" s="516"/>
      <c r="M96" s="882" t="s">
        <v>563</v>
      </c>
      <c r="N96" s="763"/>
      <c r="O96" s="831" t="s">
        <v>491</v>
      </c>
      <c r="P96" s="878">
        <f>IF($J$91&lt;=$N$91,(1-0.4*($J$91/O$33)^2)*VLOOKUP($F$49,$AC$85:$AE$91,2,FALSE),"――")</f>
        <v>153.6</v>
      </c>
      <c r="Q96" s="809"/>
      <c r="R96" s="880" t="s">
        <v>492</v>
      </c>
      <c r="S96" s="763"/>
      <c r="T96" s="427"/>
      <c r="U96" s="410"/>
      <c r="V96" s="362"/>
      <c r="W96" s="362"/>
      <c r="X96" s="362"/>
      <c r="Y96" s="362"/>
      <c r="Z96" s="70"/>
      <c r="AA96" s="70"/>
      <c r="AB96" s="80"/>
      <c r="AC96" s="80"/>
      <c r="AD96" s="80"/>
      <c r="AE96" s="80"/>
      <c r="AF96" s="80"/>
      <c r="AG96" s="80"/>
      <c r="AH96" s="17"/>
      <c r="AI96" s="17"/>
    </row>
    <row r="97" spans="1:35" ht="18" customHeight="1">
      <c r="A97" s="362"/>
      <c r="B97" s="362"/>
      <c r="C97" s="427"/>
      <c r="D97" s="369"/>
      <c r="E97" s="831"/>
      <c r="F97" s="831"/>
      <c r="G97" s="881" t="s">
        <v>493</v>
      </c>
      <c r="H97" s="881"/>
      <c r="I97" s="813"/>
      <c r="J97" s="813"/>
      <c r="K97" s="813"/>
      <c r="L97" s="813"/>
      <c r="M97" s="763"/>
      <c r="N97" s="763"/>
      <c r="O97" s="831"/>
      <c r="P97" s="809"/>
      <c r="Q97" s="809"/>
      <c r="R97" s="763"/>
      <c r="S97" s="763"/>
      <c r="T97" s="427"/>
      <c r="U97" s="410"/>
      <c r="V97" s="362"/>
      <c r="W97" s="362"/>
      <c r="X97" s="362"/>
      <c r="Y97" s="362"/>
      <c r="Z97" s="70"/>
      <c r="AA97" s="70"/>
      <c r="AB97" s="80"/>
      <c r="AC97" s="80"/>
      <c r="AD97" s="80"/>
      <c r="AE97" s="80"/>
      <c r="AF97" s="80"/>
      <c r="AG97" s="80"/>
      <c r="AH97" s="17"/>
      <c r="AI97" s="17"/>
    </row>
    <row r="98" spans="1:35" ht="18" customHeight="1">
      <c r="A98" s="362"/>
      <c r="B98" s="362"/>
      <c r="C98" s="375"/>
      <c r="D98" s="424" t="s">
        <v>180</v>
      </c>
      <c r="E98" s="369"/>
      <c r="F98" s="369"/>
      <c r="G98" s="369"/>
      <c r="H98" s="364"/>
      <c r="I98" s="362"/>
      <c r="J98" s="362"/>
      <c r="K98" s="364"/>
      <c r="L98" s="362"/>
      <c r="M98" s="65"/>
      <c r="N98" s="362"/>
      <c r="O98" s="364"/>
      <c r="P98" s="374"/>
      <c r="Q98" s="369"/>
      <c r="R98" s="66"/>
      <c r="S98" s="66"/>
      <c r="T98" s="375"/>
      <c r="U98" s="369"/>
      <c r="V98" s="362"/>
      <c r="W98" s="362"/>
      <c r="X98" s="364"/>
      <c r="Y98" s="362"/>
      <c r="Z98" s="67"/>
      <c r="AA98" s="67"/>
      <c r="AB98" s="80"/>
      <c r="AC98" s="80"/>
      <c r="AD98" s="80"/>
      <c r="AE98" s="80"/>
      <c r="AF98" s="80"/>
      <c r="AG98" s="80"/>
      <c r="AH98" s="17"/>
      <c r="AI98" s="17"/>
    </row>
    <row r="99" spans="1:35" ht="18" customHeight="1">
      <c r="A99" s="362"/>
      <c r="B99" s="362"/>
      <c r="C99" s="362"/>
      <c r="D99" s="369"/>
      <c r="E99" s="831" t="s">
        <v>489</v>
      </c>
      <c r="F99" s="831"/>
      <c r="G99" s="844">
        <v>0.29</v>
      </c>
      <c r="H99" s="516"/>
      <c r="I99" s="516"/>
      <c r="J99" s="882" t="s">
        <v>563</v>
      </c>
      <c r="K99" s="763"/>
      <c r="L99" s="831" t="s">
        <v>491</v>
      </c>
      <c r="M99" s="878" t="str">
        <f>IF($J$91&lt;=$N$91,"――",0.29/($J$91/$N$91)^2*VLOOKUP($F$49,$AC$85:$AE$91,2,FALSE))</f>
        <v>――</v>
      </c>
      <c r="N99" s="809"/>
      <c r="O99" s="880" t="s">
        <v>492</v>
      </c>
      <c r="P99" s="763"/>
      <c r="Q99" s="376"/>
      <c r="R99" s="376"/>
      <c r="S99" s="362"/>
      <c r="T99" s="362"/>
      <c r="U99" s="362"/>
      <c r="V99" s="362"/>
      <c r="W99" s="362"/>
      <c r="X99" s="362"/>
      <c r="Y99" s="362"/>
      <c r="Z99" s="362"/>
      <c r="AA99" s="64"/>
      <c r="AB99" s="80"/>
      <c r="AC99" s="80"/>
      <c r="AD99" s="80"/>
      <c r="AE99" s="80"/>
      <c r="AF99" s="80"/>
      <c r="AG99" s="80"/>
      <c r="AH99" s="17"/>
      <c r="AI99" s="17"/>
    </row>
    <row r="100" spans="1:35" ht="18" customHeight="1">
      <c r="A100" s="362"/>
      <c r="B100" s="362"/>
      <c r="C100" s="362"/>
      <c r="D100" s="369"/>
      <c r="E100" s="831"/>
      <c r="F100" s="831"/>
      <c r="G100" s="881" t="s">
        <v>494</v>
      </c>
      <c r="H100" s="813"/>
      <c r="I100" s="813"/>
      <c r="J100" s="763"/>
      <c r="K100" s="763"/>
      <c r="L100" s="831"/>
      <c r="M100" s="809"/>
      <c r="N100" s="809"/>
      <c r="O100" s="763"/>
      <c r="P100" s="763"/>
      <c r="Q100" s="376"/>
      <c r="R100" s="376"/>
      <c r="S100" s="362"/>
      <c r="T100" s="362"/>
      <c r="U100" s="362"/>
      <c r="V100" s="362"/>
      <c r="W100" s="362"/>
      <c r="X100" s="362"/>
      <c r="Y100" s="362"/>
      <c r="Z100" s="362"/>
      <c r="AA100" s="64"/>
      <c r="AB100" s="80"/>
      <c r="AC100" s="80"/>
      <c r="AD100" s="80"/>
      <c r="AE100" s="80"/>
      <c r="AF100" s="80"/>
      <c r="AG100" s="80"/>
      <c r="AH100" s="17"/>
      <c r="AI100" s="17"/>
    </row>
    <row r="101" spans="1:35" ht="18" customHeight="1">
      <c r="A101" s="362"/>
      <c r="B101" s="362"/>
      <c r="C101" s="369"/>
      <c r="D101" s="369"/>
      <c r="E101" s="369"/>
      <c r="F101" s="369"/>
      <c r="G101" s="369"/>
      <c r="H101" s="42"/>
      <c r="I101" s="42"/>
      <c r="J101" s="42"/>
      <c r="K101" s="42"/>
      <c r="L101" s="369"/>
      <c r="M101" s="42"/>
      <c r="N101" s="42"/>
      <c r="O101" s="42"/>
      <c r="P101" s="374"/>
      <c r="Q101" s="376"/>
      <c r="R101" s="376"/>
      <c r="S101" s="362"/>
      <c r="T101" s="362"/>
      <c r="U101" s="362"/>
      <c r="V101" s="362"/>
      <c r="W101" s="362"/>
      <c r="X101" s="362"/>
      <c r="Y101" s="362"/>
      <c r="Z101" s="362"/>
      <c r="AA101" s="362"/>
      <c r="AB101" s="80"/>
      <c r="AC101" s="80"/>
      <c r="AD101" s="80"/>
      <c r="AE101" s="80"/>
      <c r="AF101" s="80"/>
      <c r="AG101" s="80"/>
      <c r="AH101" s="17"/>
      <c r="AI101" s="17"/>
    </row>
    <row r="102" spans="1:35" ht="18" customHeight="1">
      <c r="A102" s="362"/>
      <c r="B102" s="362"/>
      <c r="C102" s="831" t="s">
        <v>560</v>
      </c>
      <c r="D102" s="831" t="s">
        <v>111</v>
      </c>
      <c r="E102" s="844" t="s">
        <v>135</v>
      </c>
      <c r="F102" s="844"/>
      <c r="G102" s="831" t="s">
        <v>0</v>
      </c>
      <c r="H102" s="837">
        <f>$K$82</f>
        <v>1598</v>
      </c>
      <c r="I102" s="837"/>
      <c r="J102" s="837"/>
      <c r="K102" s="831" t="s">
        <v>491</v>
      </c>
      <c r="L102" s="878">
        <f>$H$102/$H$103</f>
        <v>1.8</v>
      </c>
      <c r="M102" s="878"/>
      <c r="N102" s="851" t="s">
        <v>495</v>
      </c>
      <c r="O102" s="851"/>
      <c r="P102" s="831" t="str">
        <f>IF($M$99&lt;=$E$105,"＜","＞")</f>
        <v>＞</v>
      </c>
      <c r="Q102" s="831" t="s">
        <v>496</v>
      </c>
      <c r="R102" s="831"/>
      <c r="S102" s="531"/>
      <c r="T102" s="850">
        <v>1.3</v>
      </c>
      <c r="U102" s="850"/>
      <c r="V102" s="832" t="s">
        <v>497</v>
      </c>
      <c r="W102" s="878">
        <f>IF($P$96&lt;&gt;"――",$P$96,$M$99)</f>
        <v>153.6</v>
      </c>
      <c r="X102" s="847"/>
      <c r="Y102" s="362"/>
      <c r="Z102" s="369"/>
      <c r="AA102" s="64"/>
      <c r="AB102" s="80"/>
      <c r="AC102" s="80"/>
      <c r="AD102" s="80"/>
      <c r="AE102" s="80"/>
      <c r="AF102" s="80"/>
      <c r="AG102" s="80"/>
      <c r="AH102" s="17"/>
      <c r="AI102" s="17"/>
    </row>
    <row r="103" spans="1:35" ht="18" customHeight="1">
      <c r="A103" s="362"/>
      <c r="B103" s="362"/>
      <c r="C103" s="831"/>
      <c r="D103" s="831"/>
      <c r="E103" s="831" t="s">
        <v>498</v>
      </c>
      <c r="F103" s="831"/>
      <c r="G103" s="831"/>
      <c r="H103" s="879">
        <f>VLOOKUP($F$49,'使用材一覧'!$AC$6:$AJ$12,8,FALSE)</f>
        <v>892.7</v>
      </c>
      <c r="I103" s="879"/>
      <c r="J103" s="879"/>
      <c r="K103" s="831"/>
      <c r="L103" s="878"/>
      <c r="M103" s="878"/>
      <c r="N103" s="851"/>
      <c r="O103" s="851"/>
      <c r="P103" s="831"/>
      <c r="Q103" s="831"/>
      <c r="R103" s="831"/>
      <c r="S103" s="531"/>
      <c r="T103" s="850"/>
      <c r="U103" s="850"/>
      <c r="V103" s="832"/>
      <c r="W103" s="847"/>
      <c r="X103" s="847"/>
      <c r="Y103" s="362"/>
      <c r="Z103" s="369"/>
      <c r="AA103" s="64"/>
      <c r="AB103" s="80"/>
      <c r="AC103" s="80"/>
      <c r="AD103" s="80"/>
      <c r="AE103" s="80"/>
      <c r="AF103" s="80"/>
      <c r="AG103" s="80"/>
      <c r="AH103" s="17"/>
      <c r="AI103" s="17"/>
    </row>
    <row r="104" spans="1:35" ht="18" customHeight="1">
      <c r="A104" s="362"/>
      <c r="B104" s="362"/>
      <c r="C104" s="369"/>
      <c r="D104" s="369"/>
      <c r="E104" s="369"/>
      <c r="F104" s="369"/>
      <c r="G104" s="369"/>
      <c r="H104" s="71"/>
      <c r="I104" s="71"/>
      <c r="J104" s="71"/>
      <c r="K104" s="369"/>
      <c r="L104" s="69"/>
      <c r="M104" s="69"/>
      <c r="N104" s="375"/>
      <c r="O104" s="375"/>
      <c r="P104" s="369"/>
      <c r="Q104" s="369"/>
      <c r="R104" s="369"/>
      <c r="S104" s="173"/>
      <c r="T104" s="362"/>
      <c r="U104" s="362"/>
      <c r="V104" s="364"/>
      <c r="W104" s="67"/>
      <c r="X104" s="67"/>
      <c r="Y104" s="362"/>
      <c r="Z104" s="369"/>
      <c r="AA104" s="64"/>
      <c r="AB104" s="80"/>
      <c r="AC104" s="80"/>
      <c r="AD104" s="80"/>
      <c r="AE104" s="80"/>
      <c r="AF104" s="80"/>
      <c r="AG104" s="80"/>
      <c r="AH104" s="17"/>
      <c r="AI104" s="17"/>
    </row>
    <row r="105" spans="1:35" ht="18" customHeight="1">
      <c r="A105" s="362"/>
      <c r="B105" s="368"/>
      <c r="C105" s="362"/>
      <c r="D105" s="368" t="s">
        <v>111</v>
      </c>
      <c r="E105" s="877">
        <f>$T$102*$W$102</f>
        <v>199.7</v>
      </c>
      <c r="F105" s="877"/>
      <c r="G105" s="362" t="s">
        <v>492</v>
      </c>
      <c r="H105" s="362"/>
      <c r="I105" s="362"/>
      <c r="J105" s="842" t="e">
        <f>IF($M$43&lt;=$F$46,"","OUT")</f>
        <v>#VALUE!</v>
      </c>
      <c r="K105" s="843"/>
      <c r="L105" s="843"/>
      <c r="M105" s="362"/>
      <c r="N105" s="362"/>
      <c r="O105" s="362"/>
      <c r="P105" s="362"/>
      <c r="Q105" s="36"/>
      <c r="R105" s="36"/>
      <c r="S105" s="362"/>
      <c r="T105" s="362"/>
      <c r="U105" s="362"/>
      <c r="V105" s="362"/>
      <c r="W105" s="378"/>
      <c r="X105" s="378"/>
      <c r="Y105" s="362"/>
      <c r="Z105" s="378"/>
      <c r="AA105" s="378"/>
      <c r="AB105" s="80"/>
      <c r="AC105" s="80"/>
      <c r="AD105" s="80"/>
      <c r="AE105" s="80"/>
      <c r="AF105" s="80"/>
      <c r="AG105" s="80"/>
      <c r="AH105" s="17"/>
      <c r="AI105" s="17"/>
    </row>
    <row r="106" spans="1:35" ht="18" customHeight="1">
      <c r="A106" s="36"/>
      <c r="B106" s="36"/>
      <c r="C106" s="368"/>
      <c r="D106" s="368"/>
      <c r="E106" s="368"/>
      <c r="F106" s="379"/>
      <c r="G106" s="374"/>
      <c r="H106" s="364"/>
      <c r="I106" s="380"/>
      <c r="J106" s="380"/>
      <c r="K106" s="380"/>
      <c r="L106" s="366"/>
      <c r="M106" s="366"/>
      <c r="N106" s="362"/>
      <c r="O106" s="362"/>
      <c r="P106" s="362"/>
      <c r="Q106" s="36"/>
      <c r="R106" s="36"/>
      <c r="S106" s="362"/>
      <c r="T106" s="362"/>
      <c r="U106" s="362"/>
      <c r="V106" s="362"/>
      <c r="W106" s="362"/>
      <c r="X106" s="362"/>
      <c r="Y106" s="362"/>
      <c r="Z106" s="362"/>
      <c r="AA106" s="362"/>
      <c r="AB106" s="80"/>
      <c r="AC106" s="80"/>
      <c r="AD106" s="80"/>
      <c r="AE106" s="80"/>
      <c r="AF106" s="80"/>
      <c r="AG106" s="80"/>
      <c r="AH106" s="17"/>
      <c r="AI106" s="17"/>
    </row>
    <row r="107" spans="1:35" ht="18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17"/>
      <c r="AI107" s="17"/>
    </row>
    <row r="108" spans="1:35" ht="18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17"/>
      <c r="AI108" s="17"/>
    </row>
    <row r="109" spans="1:35" ht="13.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17"/>
      <c r="AI109" s="17"/>
    </row>
    <row r="110" spans="1:35" ht="13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</row>
    <row r="111" spans="1:35" ht="13.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</row>
    <row r="112" spans="1:35" ht="13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ht="13.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5" ht="13.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</row>
    <row r="115" spans="1:35" ht="13.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</row>
    <row r="116" spans="1:35" ht="13.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</row>
    <row r="117" spans="1:35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</row>
    <row r="118" spans="1:35" ht="13.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</row>
    <row r="119" spans="1:35" ht="13.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</row>
    <row r="120" spans="1:35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</row>
    <row r="121" spans="1:35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</row>
    <row r="122" spans="1:35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</row>
    <row r="123" spans="1:35" ht="13.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</row>
  </sheetData>
  <sheetProtection sheet="1" objects="1" scenarios="1"/>
  <mergeCells count="160">
    <mergeCell ref="B73:B74"/>
    <mergeCell ref="C73:C74"/>
    <mergeCell ref="J85:L85"/>
    <mergeCell ref="AC28:AC29"/>
    <mergeCell ref="K29:M29"/>
    <mergeCell ref="N33:N34"/>
    <mergeCell ref="O33:P34"/>
    <mergeCell ref="O30:P30"/>
    <mergeCell ref="R30:T30"/>
    <mergeCell ref="F46:G46"/>
    <mergeCell ref="W12:X12"/>
    <mergeCell ref="K26:K27"/>
    <mergeCell ref="I27:J27"/>
    <mergeCell ref="I26:J26"/>
    <mergeCell ref="T22:T23"/>
    <mergeCell ref="U22:V23"/>
    <mergeCell ref="W22:W23"/>
    <mergeCell ref="N26:N27"/>
    <mergeCell ref="Q22:R22"/>
    <mergeCell ref="G16:H16"/>
    <mergeCell ref="Q12:R12"/>
    <mergeCell ref="H19:J19"/>
    <mergeCell ref="L19:N19"/>
    <mergeCell ref="H26:H27"/>
    <mergeCell ref="L26:M27"/>
    <mergeCell ref="K46:M46"/>
    <mergeCell ref="F43:G43"/>
    <mergeCell ref="H43:H44"/>
    <mergeCell ref="F44:G44"/>
    <mergeCell ref="K33:L34"/>
    <mergeCell ref="F26:G27"/>
    <mergeCell ref="G33:G34"/>
    <mergeCell ref="H33:I33"/>
    <mergeCell ref="X43:Y44"/>
    <mergeCell ref="I44:K44"/>
    <mergeCell ref="U43:V44"/>
    <mergeCell ref="W43:W44"/>
    <mergeCell ref="I43:K43"/>
    <mergeCell ref="L43:L44"/>
    <mergeCell ref="M43:N44"/>
    <mergeCell ref="B8:B10"/>
    <mergeCell ref="M10:N10"/>
    <mergeCell ref="F22:I22"/>
    <mergeCell ref="F23:I23"/>
    <mergeCell ref="J22:J23"/>
    <mergeCell ref="K22:L22"/>
    <mergeCell ref="N22:O22"/>
    <mergeCell ref="O23:P23"/>
    <mergeCell ref="D22:D23"/>
    <mergeCell ref="E22:E23"/>
    <mergeCell ref="H34:I34"/>
    <mergeCell ref="J33:J34"/>
    <mergeCell ref="S37:T38"/>
    <mergeCell ref="R43:T44"/>
    <mergeCell ref="F37:G38"/>
    <mergeCell ref="P37:P38"/>
    <mergeCell ref="O43:P44"/>
    <mergeCell ref="Q43:Q44"/>
    <mergeCell ref="N40:O41"/>
    <mergeCell ref="P40:Q41"/>
    <mergeCell ref="H37:M37"/>
    <mergeCell ref="H38:M38"/>
    <mergeCell ref="N37:O38"/>
    <mergeCell ref="Q37:R38"/>
    <mergeCell ref="F40:G41"/>
    <mergeCell ref="M40:M41"/>
    <mergeCell ref="H40:J40"/>
    <mergeCell ref="H41:J41"/>
    <mergeCell ref="K40:L41"/>
    <mergeCell ref="E51:E53"/>
    <mergeCell ref="E54:E55"/>
    <mergeCell ref="K65:M65"/>
    <mergeCell ref="C11:C13"/>
    <mergeCell ref="F57:F59"/>
    <mergeCell ref="E57:E59"/>
    <mergeCell ref="M33:M34"/>
    <mergeCell ref="F30:H30"/>
    <mergeCell ref="L30:M30"/>
    <mergeCell ref="I30:J30"/>
    <mergeCell ref="P56:Q56"/>
    <mergeCell ref="T58:U58"/>
    <mergeCell ref="K68:L68"/>
    <mergeCell ref="N68:O68"/>
    <mergeCell ref="Q68:R68"/>
    <mergeCell ref="E60:E61"/>
    <mergeCell ref="N70:O70"/>
    <mergeCell ref="Q70:R70"/>
    <mergeCell ref="C76:C77"/>
    <mergeCell ref="D76:E76"/>
    <mergeCell ref="G76:H76"/>
    <mergeCell ref="M76:N76"/>
    <mergeCell ref="P76:Q76"/>
    <mergeCell ref="K70:L70"/>
    <mergeCell ref="O65:Q65"/>
    <mergeCell ref="S76:T76"/>
    <mergeCell ref="V76:W76"/>
    <mergeCell ref="Y76:Z76"/>
    <mergeCell ref="D79:E79"/>
    <mergeCell ref="H83:I83"/>
    <mergeCell ref="E82:F83"/>
    <mergeCell ref="G82:G83"/>
    <mergeCell ref="H82:I82"/>
    <mergeCell ref="N87:O87"/>
    <mergeCell ref="J82:J83"/>
    <mergeCell ref="K82:L83"/>
    <mergeCell ref="M82:M83"/>
    <mergeCell ref="G92:H92"/>
    <mergeCell ref="E87:G87"/>
    <mergeCell ref="H87:I87"/>
    <mergeCell ref="K87:L87"/>
    <mergeCell ref="G96:L96"/>
    <mergeCell ref="M96:N97"/>
    <mergeCell ref="O96:O97"/>
    <mergeCell ref="Q87:S87"/>
    <mergeCell ref="G91:H91"/>
    <mergeCell ref="I91:I92"/>
    <mergeCell ref="J91:K92"/>
    <mergeCell ref="L91:L92"/>
    <mergeCell ref="M91:M92"/>
    <mergeCell ref="N91:O92"/>
    <mergeCell ref="P96:Q97"/>
    <mergeCell ref="R96:S97"/>
    <mergeCell ref="G97:L97"/>
    <mergeCell ref="E99:F100"/>
    <mergeCell ref="G99:I99"/>
    <mergeCell ref="J99:K100"/>
    <mergeCell ref="L99:L100"/>
    <mergeCell ref="M99:N100"/>
    <mergeCell ref="O99:P100"/>
    <mergeCell ref="G100:I100"/>
    <mergeCell ref="P102:P103"/>
    <mergeCell ref="E102:F102"/>
    <mergeCell ref="G102:G103"/>
    <mergeCell ref="H102:J102"/>
    <mergeCell ref="E103:F103"/>
    <mergeCell ref="H103:J103"/>
    <mergeCell ref="E105:F105"/>
    <mergeCell ref="J105:L105"/>
    <mergeCell ref="AC83:AC84"/>
    <mergeCell ref="Q102:S103"/>
    <mergeCell ref="T102:U103"/>
    <mergeCell ref="V102:V103"/>
    <mergeCell ref="W102:X103"/>
    <mergeCell ref="K102:K103"/>
    <mergeCell ref="L102:M103"/>
    <mergeCell ref="N102:O103"/>
    <mergeCell ref="D26:D27"/>
    <mergeCell ref="E26:E27"/>
    <mergeCell ref="D33:D34"/>
    <mergeCell ref="E33:E34"/>
    <mergeCell ref="C102:C103"/>
    <mergeCell ref="D102:D103"/>
    <mergeCell ref="D43:D44"/>
    <mergeCell ref="E43:E44"/>
    <mergeCell ref="C91:C92"/>
    <mergeCell ref="D91:D92"/>
    <mergeCell ref="E96:F97"/>
    <mergeCell ref="F91:F92"/>
    <mergeCell ref="C82:C83"/>
    <mergeCell ref="D82:D83"/>
  </mergeCells>
  <dataValidations count="2">
    <dataValidation type="list" allowBlank="1" showInputMessage="1" showErrorMessage="1" sqref="K29:M29">
      <formula1>$AC$23:$AC$24</formula1>
    </dataValidation>
    <dataValidation type="list" allowBlank="1" showInputMessage="1" showErrorMessage="1" sqref="J85:L85">
      <formula1>$AC$78:$AC$79</formula1>
    </dataValidation>
  </dataValidations>
  <printOptions/>
  <pageMargins left="0.7874015748031497" right="0.2362204724409449" top="0.54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L29"/>
  <sheetViews>
    <sheetView view="pageBreakPreview" zoomScaleSheetLayoutView="100" workbookViewId="0" topLeftCell="A1">
      <selection activeCell="A1" sqref="A1"/>
    </sheetView>
  </sheetViews>
  <sheetFormatPr defaultColWidth="8.796875" defaultRowHeight="18" customHeight="1"/>
  <cols>
    <col min="1" max="1" width="2.19921875" style="0" customWidth="1"/>
    <col min="2" max="35" width="3.59765625" style="0" customWidth="1"/>
    <col min="36" max="36" width="5.69921875" style="0" customWidth="1"/>
    <col min="37" max="37" width="3.59765625" style="0" customWidth="1"/>
    <col min="38" max="38" width="7.5" style="0" customWidth="1"/>
    <col min="39" max="39" width="5.19921875" style="0" customWidth="1"/>
    <col min="40" max="16384" width="3.59765625" style="0" customWidth="1"/>
  </cols>
  <sheetData>
    <row r="1" ht="18" customHeight="1">
      <c r="B1" s="485" t="s">
        <v>808</v>
      </c>
    </row>
    <row r="2" spans="3:6" ht="18" customHeight="1">
      <c r="C2" s="484" t="s">
        <v>819</v>
      </c>
      <c r="D2" s="36"/>
      <c r="E2" s="36"/>
      <c r="F2" s="1"/>
    </row>
    <row r="4" spans="3:25" ht="18" customHeight="1"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3:25" ht="18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3:25" ht="18" customHeight="1">
      <c r="C6" s="1"/>
      <c r="D6" s="1"/>
      <c r="E6" s="537" t="s">
        <v>811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 t="s">
        <v>815</v>
      </c>
      <c r="S6" s="1"/>
      <c r="T6" s="1"/>
      <c r="U6" s="1"/>
      <c r="V6" s="1"/>
      <c r="W6" s="1"/>
      <c r="X6" s="1"/>
      <c r="Y6" s="1"/>
    </row>
    <row r="7" spans="3:25" ht="18" customHeight="1">
      <c r="C7" s="1"/>
      <c r="D7" s="1"/>
      <c r="E7" s="537"/>
      <c r="F7" s="1"/>
      <c r="G7" s="1"/>
      <c r="H7" s="552" t="s">
        <v>820</v>
      </c>
      <c r="I7" s="552"/>
      <c r="J7" s="552"/>
      <c r="K7" s="1"/>
      <c r="L7" s="1"/>
      <c r="M7" s="1"/>
      <c r="N7" s="1"/>
      <c r="O7" s="1"/>
      <c r="P7" s="574">
        <v>500</v>
      </c>
      <c r="Q7" s="1"/>
      <c r="R7" s="1"/>
      <c r="S7" s="1" t="s">
        <v>816</v>
      </c>
      <c r="T7" s="1"/>
      <c r="U7" s="1"/>
      <c r="V7" s="1"/>
      <c r="W7" s="1"/>
      <c r="X7" s="1"/>
      <c r="Y7" s="1"/>
    </row>
    <row r="8" spans="3:25" ht="18" customHeight="1">
      <c r="C8" s="186"/>
      <c r="D8" s="186"/>
      <c r="E8" s="537"/>
      <c r="F8" s="186"/>
      <c r="G8" s="186"/>
      <c r="H8" s="186"/>
      <c r="I8" s="186"/>
      <c r="J8" s="186"/>
      <c r="K8" s="186"/>
      <c r="L8" s="186"/>
      <c r="M8" s="186" t="s">
        <v>814</v>
      </c>
      <c r="N8" s="186"/>
      <c r="O8" s="186"/>
      <c r="P8" s="574"/>
      <c r="Q8" s="186"/>
      <c r="R8" s="186"/>
      <c r="S8" s="186" t="s">
        <v>817</v>
      </c>
      <c r="T8" s="186"/>
      <c r="U8" s="186"/>
      <c r="V8" s="186"/>
      <c r="W8" s="186"/>
      <c r="X8" s="186"/>
      <c r="Y8" s="186"/>
    </row>
    <row r="9" spans="3:25" ht="18" customHeight="1"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538">
        <v>70</v>
      </c>
      <c r="O9" s="186"/>
      <c r="P9" s="574"/>
      <c r="Q9" s="186"/>
      <c r="R9" s="186"/>
      <c r="S9" s="186"/>
      <c r="T9" s="186"/>
      <c r="U9" s="186"/>
      <c r="V9" s="186"/>
      <c r="W9" s="186"/>
      <c r="X9" s="186"/>
      <c r="Y9" s="186"/>
    </row>
    <row r="10" spans="3:32" ht="18" customHeight="1"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538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AD10" t="s">
        <v>821</v>
      </c>
      <c r="AF10">
        <v>235</v>
      </c>
    </row>
    <row r="11" spans="3:32" ht="18" customHeight="1">
      <c r="C11" s="186"/>
      <c r="D11" s="186"/>
      <c r="E11" s="186"/>
      <c r="F11" s="186"/>
      <c r="G11" s="186"/>
      <c r="H11" s="551" t="s">
        <v>810</v>
      </c>
      <c r="I11" s="551"/>
      <c r="J11" s="551"/>
      <c r="K11" s="186"/>
      <c r="L11" s="322">
        <v>50</v>
      </c>
      <c r="M11" s="186"/>
      <c r="N11" s="538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AD11" t="s">
        <v>822</v>
      </c>
      <c r="AF11">
        <v>295</v>
      </c>
    </row>
    <row r="12" spans="3:32" ht="18" customHeight="1"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AD12" t="s">
        <v>823</v>
      </c>
      <c r="AF12">
        <v>345</v>
      </c>
    </row>
    <row r="13" spans="3:25" ht="18" customHeight="1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3:36" ht="18" customHeight="1">
      <c r="C14" s="25"/>
      <c r="D14" s="25"/>
      <c r="E14" s="25"/>
      <c r="F14" s="25"/>
      <c r="G14" s="25"/>
      <c r="H14" s="25"/>
      <c r="I14" s="899" t="s">
        <v>813</v>
      </c>
      <c r="J14" s="899"/>
      <c r="K14" s="899"/>
      <c r="L14" s="902" t="s">
        <v>818</v>
      </c>
      <c r="M14" s="902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AD14" t="s">
        <v>824</v>
      </c>
      <c r="AE14">
        <v>198</v>
      </c>
      <c r="AJ14" s="486">
        <f>IF(L14=AD10,AF10,IF(L14=AD11,AF11,IF(L14=AD12,AF12)))</f>
        <v>235</v>
      </c>
    </row>
    <row r="15" spans="3:38" ht="18" customHeight="1">
      <c r="C15" s="1"/>
      <c r="D15" s="1"/>
      <c r="E15" s="1"/>
      <c r="F15" s="1"/>
      <c r="G15" s="1"/>
      <c r="H15" s="1"/>
      <c r="I15" s="900" t="s">
        <v>64</v>
      </c>
      <c r="J15" s="900"/>
      <c r="K15" s="900"/>
      <c r="L15" s="901" t="s">
        <v>835</v>
      </c>
      <c r="M15" s="90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AD15" t="s">
        <v>825</v>
      </c>
      <c r="AE15">
        <v>286</v>
      </c>
      <c r="AJ15" s="486">
        <f>IF(L15=AD14,AE14,IF(L15=AD15,AE15,IF(L15=AD16,AE16,IF(L15=AD17,AE17))))</f>
        <v>198</v>
      </c>
      <c r="AL15" s="487">
        <f>ROUNDDOWN(AJ14*AJ15,-3)</f>
        <v>46000</v>
      </c>
    </row>
    <row r="16" spans="3:36" ht="18" customHeight="1">
      <c r="C16" s="1"/>
      <c r="D16" s="1"/>
      <c r="E16" s="1"/>
      <c r="F16" s="1"/>
      <c r="G16" s="1"/>
      <c r="H16" s="1"/>
      <c r="I16" s="900" t="s">
        <v>826</v>
      </c>
      <c r="J16" s="900"/>
      <c r="K16" s="900"/>
      <c r="L16" s="901">
        <v>1</v>
      </c>
      <c r="M16" s="90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AD16" t="s">
        <v>827</v>
      </c>
      <c r="AE16">
        <v>387</v>
      </c>
      <c r="AJ16" s="486"/>
    </row>
    <row r="17" spans="3:31" ht="18" customHeight="1">
      <c r="C17" s="1"/>
      <c r="D17" s="1"/>
      <c r="E17" s="1"/>
      <c r="F17" s="1"/>
      <c r="G17" s="1"/>
      <c r="H17" s="1"/>
      <c r="I17" s="1"/>
      <c r="U17" s="1"/>
      <c r="V17" s="1"/>
      <c r="W17" s="1"/>
      <c r="X17" s="1"/>
      <c r="Y17" s="1"/>
      <c r="AD17" t="s">
        <v>828</v>
      </c>
      <c r="AE17">
        <v>506</v>
      </c>
    </row>
    <row r="18" spans="3:25" ht="18" customHeight="1">
      <c r="C18" s="1"/>
      <c r="D18" s="1"/>
      <c r="E18" s="1"/>
      <c r="F18" s="1"/>
      <c r="G18" s="1"/>
      <c r="H18" s="1"/>
      <c r="I18" s="541" t="s">
        <v>829</v>
      </c>
      <c r="J18" s="541"/>
      <c r="K18" s="541"/>
      <c r="L18" s="36"/>
      <c r="M18" s="36"/>
      <c r="N18" s="587" t="s">
        <v>830</v>
      </c>
      <c r="O18" s="587"/>
      <c r="P18" s="539">
        <f>ROUNDDOWN(AJ14*AJ15*L16,-3)</f>
        <v>46000</v>
      </c>
      <c r="Q18" s="539"/>
      <c r="R18" s="527"/>
      <c r="S18" s="158" t="s">
        <v>831</v>
      </c>
      <c r="U18" s="1"/>
      <c r="V18" s="1"/>
      <c r="W18" s="1"/>
      <c r="X18" s="1"/>
      <c r="Y18" s="1"/>
    </row>
    <row r="19" spans="19:30" ht="18" customHeight="1">
      <c r="S19" s="488"/>
      <c r="AD19">
        <v>1</v>
      </c>
    </row>
    <row r="20" spans="19:30" ht="18" customHeight="1">
      <c r="S20" s="488"/>
      <c r="AD20">
        <v>2</v>
      </c>
    </row>
    <row r="21" spans="4:30" ht="18" customHeight="1">
      <c r="D21" t="s">
        <v>832</v>
      </c>
      <c r="S21" s="488"/>
      <c r="AD21">
        <v>3</v>
      </c>
    </row>
    <row r="22" ht="18" customHeight="1">
      <c r="S22" s="488"/>
    </row>
    <row r="23" spans="9:19" ht="18" customHeight="1">
      <c r="I23" s="897" t="s">
        <v>833</v>
      </c>
      <c r="J23" s="897"/>
      <c r="K23" s="897"/>
      <c r="L23" s="897"/>
      <c r="M23" s="897"/>
      <c r="N23" s="897"/>
      <c r="O23" s="492" t="s">
        <v>836</v>
      </c>
      <c r="S23" s="488"/>
    </row>
    <row r="24" ht="18" customHeight="1">
      <c r="AJ24" s="489">
        <f>'朝顔チェーン'!N21</f>
        <v>3280</v>
      </c>
    </row>
    <row r="25" spans="13:36" ht="18" customHeight="1">
      <c r="M25" s="898">
        <f>IF(I23=AC24,AJ24,IF(I23=AC25,AJ25,IF(I23=AC26,AJ26)))</f>
        <v>2931</v>
      </c>
      <c r="N25" s="898"/>
      <c r="O25" s="898"/>
      <c r="P25" s="158" t="s">
        <v>786</v>
      </c>
      <c r="AC25" t="s">
        <v>833</v>
      </c>
      <c r="AJ25" s="489">
        <f>'朝顔チェーン'!E70</f>
        <v>2931</v>
      </c>
    </row>
    <row r="26" ht="18" customHeight="1">
      <c r="AJ26" s="489">
        <f>SUM(AJ24:AJ25)</f>
        <v>6211</v>
      </c>
    </row>
    <row r="28" spans="9:22" ht="18" customHeight="1">
      <c r="I28" s="544">
        <f>M25</f>
        <v>2931</v>
      </c>
      <c r="J28" s="544"/>
      <c r="K28" s="656" t="s">
        <v>786</v>
      </c>
      <c r="L28" s="541" t="str">
        <f>IF($O$23&lt;=$U$23,"＜","＞")</f>
        <v>＞</v>
      </c>
      <c r="M28" s="541" t="s">
        <v>834</v>
      </c>
      <c r="N28" s="540"/>
      <c r="O28" s="586">
        <f>P18</f>
        <v>46000</v>
      </c>
      <c r="P28" s="586"/>
      <c r="Q28" s="586"/>
      <c r="R28" s="656" t="s">
        <v>786</v>
      </c>
      <c r="S28" s="517">
        <f>IF(I28&lt;=O28,"","NG")</f>
      </c>
      <c r="T28" s="517"/>
      <c r="U28" s="517"/>
      <c r="V28" s="517"/>
    </row>
    <row r="29" spans="9:22" ht="18" customHeight="1">
      <c r="I29" s="531"/>
      <c r="J29" s="531"/>
      <c r="K29" s="656"/>
      <c r="L29" s="541"/>
      <c r="M29" s="540"/>
      <c r="N29" s="540"/>
      <c r="O29" s="586"/>
      <c r="P29" s="586"/>
      <c r="Q29" s="586"/>
      <c r="R29" s="656"/>
      <c r="S29" s="517"/>
      <c r="T29" s="517"/>
      <c r="U29" s="517"/>
      <c r="V29" s="517"/>
    </row>
  </sheetData>
  <sheetProtection sheet="1" objects="1" scenarios="1"/>
  <mergeCells count="23">
    <mergeCell ref="E6:E8"/>
    <mergeCell ref="H7:J7"/>
    <mergeCell ref="P7:P9"/>
    <mergeCell ref="N9:N11"/>
    <mergeCell ref="H11:J11"/>
    <mergeCell ref="N18:O18"/>
    <mergeCell ref="P18:R18"/>
    <mergeCell ref="L14:M14"/>
    <mergeCell ref="L15:M15"/>
    <mergeCell ref="I14:K14"/>
    <mergeCell ref="I15:K15"/>
    <mergeCell ref="I16:K16"/>
    <mergeCell ref="L16:M16"/>
    <mergeCell ref="I18:K18"/>
    <mergeCell ref="I28:J29"/>
    <mergeCell ref="K28:K29"/>
    <mergeCell ref="L28:L29"/>
    <mergeCell ref="R28:R29"/>
    <mergeCell ref="S28:V29"/>
    <mergeCell ref="I23:N23"/>
    <mergeCell ref="M25:O25"/>
    <mergeCell ref="M28:N29"/>
    <mergeCell ref="O28:Q29"/>
  </mergeCells>
  <dataValidations count="4">
    <dataValidation type="list" allowBlank="1" showInputMessage="1" showErrorMessage="1" sqref="L14:M14">
      <formula1>$AD$9:$AD$12</formula1>
    </dataValidation>
    <dataValidation type="list" allowBlank="1" showInputMessage="1" showErrorMessage="1" sqref="L16:M16">
      <formula1>$AD$18:$AD$21</formula1>
    </dataValidation>
    <dataValidation type="list" allowBlank="1" showInputMessage="1" showErrorMessage="1" sqref="L15:M15">
      <formula1>$AD$13:$AD$17</formula1>
    </dataValidation>
    <dataValidation type="list" allowBlank="1" showInputMessage="1" showErrorMessage="1" sqref="I23:N23">
      <formula1>$AC$23:$AC$26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5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27" width="3.3984375" style="1" customWidth="1"/>
    <col min="28" max="28" width="3.09765625" style="1" customWidth="1"/>
    <col min="29" max="29" width="21.19921875" style="1" customWidth="1"/>
    <col min="30" max="30" width="4.69921875" style="1" customWidth="1"/>
    <col min="31" max="32" width="11.59765625" style="1" customWidth="1"/>
    <col min="33" max="33" width="10.09765625" style="1" customWidth="1"/>
    <col min="34" max="34" width="9.19921875" style="1" customWidth="1"/>
    <col min="35" max="35" width="6.8984375" style="1" customWidth="1"/>
    <col min="36" max="36" width="11.59765625" style="1" customWidth="1"/>
    <col min="37" max="37" width="13.69921875" style="1" customWidth="1"/>
    <col min="38" max="38" width="9" style="1" customWidth="1"/>
    <col min="39" max="39" width="9.3984375" style="1" customWidth="1"/>
    <col min="40" max="16384" width="4.69921875" style="1" customWidth="1"/>
  </cols>
  <sheetData>
    <row r="1" spans="1:45" ht="18" customHeight="1">
      <c r="A1" s="36"/>
      <c r="B1" s="481" t="s">
        <v>154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79"/>
      <c r="W1" s="79"/>
      <c r="X1" s="79"/>
      <c r="Y1" s="79"/>
      <c r="Z1" s="79"/>
      <c r="AA1" s="79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25"/>
    </row>
    <row r="2" spans="1:45" ht="18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79"/>
      <c r="W2" s="79"/>
      <c r="X2" s="79"/>
      <c r="Y2" s="79"/>
      <c r="Z2" s="79"/>
      <c r="AA2" s="79"/>
      <c r="AB2" s="80"/>
      <c r="AC2" s="81" t="s">
        <v>81</v>
      </c>
      <c r="AD2" s="81" t="s">
        <v>53</v>
      </c>
      <c r="AE2" s="81" t="s">
        <v>54</v>
      </c>
      <c r="AF2" s="81" t="s">
        <v>55</v>
      </c>
      <c r="AG2" s="81" t="s">
        <v>56</v>
      </c>
      <c r="AH2" s="81" t="s">
        <v>57</v>
      </c>
      <c r="AI2" s="81" t="s">
        <v>58</v>
      </c>
      <c r="AJ2" s="81" t="s">
        <v>59</v>
      </c>
      <c r="AK2" s="80"/>
      <c r="AL2" s="80"/>
      <c r="AM2" s="80"/>
      <c r="AN2" s="80"/>
      <c r="AO2" s="80"/>
      <c r="AP2" s="80"/>
      <c r="AQ2" s="80"/>
      <c r="AR2" s="80"/>
      <c r="AS2" s="25"/>
    </row>
    <row r="3" spans="1:45" ht="18" customHeight="1">
      <c r="A3" s="36"/>
      <c r="B3" s="36"/>
      <c r="C3" s="82" t="s">
        <v>126</v>
      </c>
      <c r="D3" s="82"/>
      <c r="E3" s="36"/>
      <c r="F3" s="36"/>
      <c r="G3" s="36"/>
      <c r="H3" s="577" t="s">
        <v>37</v>
      </c>
      <c r="I3" s="577"/>
      <c r="J3" s="577"/>
      <c r="K3" s="577"/>
      <c r="L3" s="577"/>
      <c r="M3" s="36"/>
      <c r="N3" s="50">
        <f>VLOOKUP($H$3,$AC$18:$AO$22,3,FALSE)</f>
        <v>28</v>
      </c>
      <c r="O3" s="41" t="s">
        <v>1</v>
      </c>
      <c r="P3" s="579">
        <f>VLOOKUP($H$3,$AC$18:$AO$22,4,FALSE)</f>
        <v>240</v>
      </c>
      <c r="Q3" s="579"/>
      <c r="R3" s="579"/>
      <c r="S3" s="83"/>
      <c r="T3" s="36" t="s">
        <v>1</v>
      </c>
      <c r="U3" s="544">
        <f>VLOOKUP($H$3,$AC$18:$AO$22,5,FALSE)</f>
        <v>4000</v>
      </c>
      <c r="V3" s="544"/>
      <c r="W3" s="79"/>
      <c r="X3" s="79"/>
      <c r="Y3" s="79"/>
      <c r="Z3" s="79"/>
      <c r="AA3" s="79"/>
      <c r="AB3" s="80"/>
      <c r="AC3" s="554" t="s">
        <v>43</v>
      </c>
      <c r="AD3" s="558" t="s">
        <v>65</v>
      </c>
      <c r="AE3" s="558" t="s">
        <v>78</v>
      </c>
      <c r="AF3" s="558" t="s">
        <v>46</v>
      </c>
      <c r="AG3" s="558" t="s">
        <v>79</v>
      </c>
      <c r="AH3" s="558" t="s">
        <v>80</v>
      </c>
      <c r="AI3" s="558" t="s">
        <v>142</v>
      </c>
      <c r="AJ3" s="558" t="s">
        <v>69</v>
      </c>
      <c r="AK3" s="80"/>
      <c r="AL3" s="80"/>
      <c r="AM3" s="80"/>
      <c r="AN3" s="80"/>
      <c r="AO3" s="80"/>
      <c r="AP3" s="80"/>
      <c r="AQ3" s="80"/>
      <c r="AR3" s="80"/>
      <c r="AS3" s="25"/>
    </row>
    <row r="4" spans="1:45" ht="18" customHeight="1">
      <c r="A4" s="36"/>
      <c r="B4" s="36"/>
      <c r="C4" s="36"/>
      <c r="D4" s="36"/>
      <c r="E4" s="36"/>
      <c r="F4" s="82" t="s">
        <v>114</v>
      </c>
      <c r="G4" s="36"/>
      <c r="H4" s="36"/>
      <c r="I4" s="36"/>
      <c r="J4" s="36"/>
      <c r="K4" s="36"/>
      <c r="L4" s="36"/>
      <c r="M4" s="587" t="s">
        <v>228</v>
      </c>
      <c r="N4" s="587"/>
      <c r="O4" s="85"/>
      <c r="P4" s="584">
        <f>VLOOKUP($H$3,$AC$18:$AO$22,6,FALSE)</f>
        <v>176</v>
      </c>
      <c r="Q4" s="584"/>
      <c r="R4" s="584"/>
      <c r="S4" s="578"/>
      <c r="T4" s="578"/>
      <c r="U4" s="36" t="s">
        <v>229</v>
      </c>
      <c r="V4" s="36"/>
      <c r="W4" s="79"/>
      <c r="X4" s="79"/>
      <c r="Y4" s="79"/>
      <c r="Z4" s="29"/>
      <c r="AA4" s="36"/>
      <c r="AB4" s="80"/>
      <c r="AC4" s="555"/>
      <c r="AD4" s="553"/>
      <c r="AE4" s="553"/>
      <c r="AF4" s="553"/>
      <c r="AG4" s="553"/>
      <c r="AH4" s="553"/>
      <c r="AI4" s="553"/>
      <c r="AJ4" s="553"/>
      <c r="AK4" s="80"/>
      <c r="AL4" s="80"/>
      <c r="AM4" s="80"/>
      <c r="AN4" s="80"/>
      <c r="AO4" s="80"/>
      <c r="AP4" s="80"/>
      <c r="AQ4" s="80"/>
      <c r="AR4" s="80"/>
      <c r="AS4" s="25"/>
    </row>
    <row r="5" spans="1:45" ht="18" customHeight="1">
      <c r="A5" s="36"/>
      <c r="B5" s="36"/>
      <c r="C5" s="36"/>
      <c r="D5" s="36"/>
      <c r="E5" s="36"/>
      <c r="F5" s="82" t="s">
        <v>127</v>
      </c>
      <c r="G5" s="36"/>
      <c r="H5" s="36"/>
      <c r="I5" s="36"/>
      <c r="J5" s="36"/>
      <c r="K5" s="36"/>
      <c r="L5" s="36"/>
      <c r="M5" s="587" t="s">
        <v>230</v>
      </c>
      <c r="N5" s="587"/>
      <c r="O5" s="85"/>
      <c r="P5" s="584">
        <f>VLOOKUP($H$3,$AC$18:$AO$22,9,FALSE)</f>
        <v>439000</v>
      </c>
      <c r="Q5" s="584"/>
      <c r="R5" s="584"/>
      <c r="S5" s="578"/>
      <c r="T5" s="578"/>
      <c r="U5" s="36" t="s">
        <v>231</v>
      </c>
      <c r="V5" s="36"/>
      <c r="W5" s="79"/>
      <c r="X5" s="79"/>
      <c r="Y5" s="79"/>
      <c r="Z5" s="28"/>
      <c r="AA5" s="36"/>
      <c r="AB5" s="80"/>
      <c r="AC5" s="86" t="s">
        <v>77</v>
      </c>
      <c r="AD5" s="87" t="s">
        <v>232</v>
      </c>
      <c r="AE5" s="88" t="s">
        <v>233</v>
      </c>
      <c r="AF5" s="90" t="s">
        <v>234</v>
      </c>
      <c r="AG5" s="88" t="s">
        <v>235</v>
      </c>
      <c r="AH5" s="90" t="s">
        <v>235</v>
      </c>
      <c r="AI5" s="88" t="s">
        <v>236</v>
      </c>
      <c r="AJ5" s="88" t="s">
        <v>234</v>
      </c>
      <c r="AK5" s="80"/>
      <c r="AL5" s="80"/>
      <c r="AM5" s="80"/>
      <c r="AN5" s="80"/>
      <c r="AO5" s="80"/>
      <c r="AP5" s="80"/>
      <c r="AQ5" s="80"/>
      <c r="AR5" s="80"/>
      <c r="AS5" s="25"/>
    </row>
    <row r="6" spans="1:45" ht="18" customHeight="1">
      <c r="A6" s="36"/>
      <c r="B6" s="36"/>
      <c r="C6" s="36"/>
      <c r="D6" s="36"/>
      <c r="E6" s="36"/>
      <c r="F6" s="36" t="s">
        <v>128</v>
      </c>
      <c r="G6" s="36"/>
      <c r="H6" s="36"/>
      <c r="I6" s="36"/>
      <c r="J6" s="36"/>
      <c r="K6" s="36"/>
      <c r="L6" s="36"/>
      <c r="M6" s="587" t="s">
        <v>237</v>
      </c>
      <c r="N6" s="587"/>
      <c r="O6" s="85"/>
      <c r="P6" s="584">
        <f>VLOOKUP($H$3,$AC$18:$AO$22,10,FALSE)</f>
        <v>31360</v>
      </c>
      <c r="Q6" s="584"/>
      <c r="R6" s="584"/>
      <c r="S6" s="578"/>
      <c r="T6" s="578"/>
      <c r="U6" s="36" t="s">
        <v>238</v>
      </c>
      <c r="V6" s="36"/>
      <c r="W6" s="79"/>
      <c r="X6" s="79"/>
      <c r="Y6" s="79"/>
      <c r="Z6" s="28"/>
      <c r="AA6" s="36"/>
      <c r="AB6" s="80"/>
      <c r="AC6" s="91" t="s">
        <v>239</v>
      </c>
      <c r="AD6" s="92">
        <v>27</v>
      </c>
      <c r="AE6" s="93">
        <v>93200</v>
      </c>
      <c r="AF6" s="93">
        <v>3830</v>
      </c>
      <c r="AG6" s="92">
        <v>200000</v>
      </c>
      <c r="AH6" s="94">
        <v>235</v>
      </c>
      <c r="AI6" s="95">
        <v>16.4</v>
      </c>
      <c r="AJ6" s="95">
        <v>348.3</v>
      </c>
      <c r="AK6" s="80"/>
      <c r="AL6" s="80"/>
      <c r="AM6" s="80"/>
      <c r="AN6" s="80"/>
      <c r="AO6" s="80"/>
      <c r="AP6" s="80"/>
      <c r="AQ6" s="80"/>
      <c r="AR6" s="80"/>
      <c r="AS6" s="25"/>
    </row>
    <row r="7" spans="1:45" ht="18" customHeight="1">
      <c r="A7" s="36"/>
      <c r="B7" s="36"/>
      <c r="C7" s="36"/>
      <c r="D7" s="36"/>
      <c r="E7" s="36"/>
      <c r="F7" s="36" t="s">
        <v>129</v>
      </c>
      <c r="G7" s="36"/>
      <c r="H7" s="36"/>
      <c r="I7" s="36"/>
      <c r="J7" s="36"/>
      <c r="K7" s="36"/>
      <c r="L7" s="36"/>
      <c r="M7" s="587" t="s">
        <v>240</v>
      </c>
      <c r="N7" s="587"/>
      <c r="O7" s="96"/>
      <c r="P7" s="584">
        <f>VLOOKUP($H$3,$AC$18:$AO$22,11,FALSE)</f>
        <v>6860</v>
      </c>
      <c r="Q7" s="584"/>
      <c r="R7" s="584"/>
      <c r="S7" s="578"/>
      <c r="T7" s="578"/>
      <c r="U7" s="36" t="s">
        <v>235</v>
      </c>
      <c r="V7" s="36"/>
      <c r="W7" s="79"/>
      <c r="X7" s="79"/>
      <c r="Y7" s="79"/>
      <c r="Z7" s="29"/>
      <c r="AA7" s="36"/>
      <c r="AB7" s="80"/>
      <c r="AC7" s="97" t="s">
        <v>241</v>
      </c>
      <c r="AD7" s="98">
        <v>40</v>
      </c>
      <c r="AE7" s="99">
        <v>283000</v>
      </c>
      <c r="AF7" s="99">
        <v>9440</v>
      </c>
      <c r="AG7" s="98">
        <v>200000</v>
      </c>
      <c r="AH7" s="100">
        <v>165</v>
      </c>
      <c r="AI7" s="101">
        <v>23.4</v>
      </c>
      <c r="AJ7" s="101">
        <v>517.2</v>
      </c>
      <c r="AK7" s="80"/>
      <c r="AL7" s="80"/>
      <c r="AM7" s="80"/>
      <c r="AN7" s="80"/>
      <c r="AO7" s="80"/>
      <c r="AP7" s="80"/>
      <c r="AQ7" s="80"/>
      <c r="AR7" s="80"/>
      <c r="AS7" s="25"/>
    </row>
    <row r="8" spans="1:45" ht="18" customHeight="1">
      <c r="A8" s="36"/>
      <c r="B8" s="36"/>
      <c r="C8" s="36"/>
      <c r="D8" s="36"/>
      <c r="E8" s="36"/>
      <c r="F8" s="36" t="s">
        <v>130</v>
      </c>
      <c r="G8" s="36"/>
      <c r="H8" s="36"/>
      <c r="I8" s="36"/>
      <c r="J8" s="36"/>
      <c r="K8" s="36"/>
      <c r="L8" s="36"/>
      <c r="M8" s="560" t="s">
        <v>131</v>
      </c>
      <c r="N8" s="560"/>
      <c r="O8" s="96"/>
      <c r="P8" s="588">
        <f>VLOOKUP($H$3,$AC$18:$AO$22,12,FALSE)</f>
        <v>16.2</v>
      </c>
      <c r="Q8" s="588"/>
      <c r="R8" s="588"/>
      <c r="S8" s="557"/>
      <c r="T8" s="557"/>
      <c r="U8" s="36" t="s">
        <v>235</v>
      </c>
      <c r="V8" s="36"/>
      <c r="W8" s="79"/>
      <c r="X8" s="79"/>
      <c r="Y8" s="79"/>
      <c r="Z8" s="28"/>
      <c r="AA8" s="36"/>
      <c r="AB8" s="80"/>
      <c r="AC8" s="97" t="s">
        <v>242</v>
      </c>
      <c r="AD8" s="98">
        <v>69</v>
      </c>
      <c r="AE8" s="99">
        <v>755000</v>
      </c>
      <c r="AF8" s="99">
        <v>20100</v>
      </c>
      <c r="AG8" s="98">
        <v>200000</v>
      </c>
      <c r="AH8" s="100">
        <v>165</v>
      </c>
      <c r="AI8" s="101">
        <v>29.1</v>
      </c>
      <c r="AJ8" s="101">
        <v>892.7</v>
      </c>
      <c r="AK8" s="80"/>
      <c r="AL8" s="80"/>
      <c r="AM8" s="80"/>
      <c r="AN8" s="80"/>
      <c r="AO8" s="80"/>
      <c r="AP8" s="80"/>
      <c r="AQ8" s="80"/>
      <c r="AR8" s="80"/>
      <c r="AS8" s="25"/>
    </row>
    <row r="9" spans="1:45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102"/>
      <c r="N9" s="102"/>
      <c r="O9" s="96"/>
      <c r="P9" s="104"/>
      <c r="Q9" s="104"/>
      <c r="R9" s="104"/>
      <c r="S9" s="105"/>
      <c r="T9" s="105"/>
      <c r="U9" s="36"/>
      <c r="V9" s="36"/>
      <c r="W9" s="79"/>
      <c r="X9" s="79"/>
      <c r="Y9" s="79"/>
      <c r="Z9" s="28"/>
      <c r="AA9" s="36"/>
      <c r="AB9" s="80"/>
      <c r="AC9" s="97" t="s">
        <v>243</v>
      </c>
      <c r="AD9" s="98">
        <v>93</v>
      </c>
      <c r="AE9" s="99">
        <v>1870000</v>
      </c>
      <c r="AF9" s="99">
        <v>37500</v>
      </c>
      <c r="AG9" s="98">
        <v>200000</v>
      </c>
      <c r="AH9" s="100">
        <v>165</v>
      </c>
      <c r="AI9" s="101">
        <v>39.3</v>
      </c>
      <c r="AJ9" s="98">
        <v>1213</v>
      </c>
      <c r="AK9" s="80"/>
      <c r="AL9" s="80"/>
      <c r="AM9" s="80"/>
      <c r="AN9" s="80"/>
      <c r="AO9" s="80"/>
      <c r="AP9" s="80"/>
      <c r="AQ9" s="80"/>
      <c r="AR9" s="80"/>
      <c r="AS9" s="25"/>
    </row>
    <row r="10" spans="1:45" ht="18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102"/>
      <c r="O10" s="80"/>
      <c r="P10" s="80"/>
      <c r="Q10" s="80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80"/>
      <c r="AC10" s="97" t="s">
        <v>244</v>
      </c>
      <c r="AD10" s="98">
        <v>40</v>
      </c>
      <c r="AE10" s="99">
        <v>283000</v>
      </c>
      <c r="AF10" s="99">
        <v>9440</v>
      </c>
      <c r="AG10" s="98">
        <v>200000</v>
      </c>
      <c r="AH10" s="100">
        <v>215</v>
      </c>
      <c r="AI10" s="101">
        <v>23.4</v>
      </c>
      <c r="AJ10" s="101">
        <v>517.2</v>
      </c>
      <c r="AK10" s="80"/>
      <c r="AL10" s="80"/>
      <c r="AM10" s="80"/>
      <c r="AN10" s="80"/>
      <c r="AO10" s="80"/>
      <c r="AP10" s="80"/>
      <c r="AQ10" s="80"/>
      <c r="AR10" s="80"/>
      <c r="AS10" s="25"/>
    </row>
    <row r="11" spans="1:45" ht="18" customHeight="1">
      <c r="A11" s="36"/>
      <c r="B11" s="36"/>
      <c r="C11" s="36" t="s">
        <v>132</v>
      </c>
      <c r="D11" s="36"/>
      <c r="E11" s="36"/>
      <c r="F11" s="36"/>
      <c r="G11" s="36"/>
      <c r="H11" s="36"/>
      <c r="I11" s="36"/>
      <c r="J11" s="36"/>
      <c r="K11" s="36"/>
      <c r="L11" s="80"/>
      <c r="M11" s="41"/>
      <c r="N11" s="102"/>
      <c r="O11" s="80"/>
      <c r="P11" s="36"/>
      <c r="Q11" s="36"/>
      <c r="R11" s="36"/>
      <c r="S11" s="36"/>
      <c r="T11" s="36"/>
      <c r="U11" s="36"/>
      <c r="V11" s="42"/>
      <c r="W11" s="80"/>
      <c r="X11" s="36"/>
      <c r="Y11" s="80"/>
      <c r="Z11" s="80"/>
      <c r="AA11" s="36"/>
      <c r="AB11" s="80"/>
      <c r="AC11" s="97" t="s">
        <v>245</v>
      </c>
      <c r="AD11" s="98">
        <v>69</v>
      </c>
      <c r="AE11" s="99">
        <v>755000</v>
      </c>
      <c r="AF11" s="99">
        <v>20100</v>
      </c>
      <c r="AG11" s="98">
        <v>200000</v>
      </c>
      <c r="AH11" s="100">
        <v>215</v>
      </c>
      <c r="AI11" s="101">
        <v>29.1</v>
      </c>
      <c r="AJ11" s="101">
        <v>892.7</v>
      </c>
      <c r="AK11" s="80"/>
      <c r="AL11" s="80"/>
      <c r="AM11" s="80"/>
      <c r="AN11" s="80"/>
      <c r="AO11" s="80"/>
      <c r="AP11" s="80"/>
      <c r="AQ11" s="80"/>
      <c r="AR11" s="80"/>
      <c r="AS11" s="25"/>
    </row>
    <row r="12" spans="1:45" ht="18" customHeight="1">
      <c r="A12" s="36"/>
      <c r="B12" s="36"/>
      <c r="C12" s="36"/>
      <c r="D12" s="36" t="s">
        <v>137</v>
      </c>
      <c r="E12" s="36"/>
      <c r="F12" s="36"/>
      <c r="G12" s="36"/>
      <c r="H12" s="80"/>
      <c r="I12" s="36"/>
      <c r="J12" s="80"/>
      <c r="K12" s="36"/>
      <c r="L12" s="577" t="s">
        <v>795</v>
      </c>
      <c r="M12" s="556"/>
      <c r="N12" s="556"/>
      <c r="O12" s="556"/>
      <c r="P12" s="556"/>
      <c r="Q12" s="556"/>
      <c r="R12" s="556"/>
      <c r="S12" s="36"/>
      <c r="T12" s="36"/>
      <c r="U12" s="106"/>
      <c r="V12" s="106"/>
      <c r="W12" s="106"/>
      <c r="X12" s="36"/>
      <c r="Y12" s="42"/>
      <c r="Z12" s="80"/>
      <c r="AA12" s="36"/>
      <c r="AB12" s="80"/>
      <c r="AC12" s="107" t="s">
        <v>246</v>
      </c>
      <c r="AD12" s="108">
        <v>93</v>
      </c>
      <c r="AE12" s="109">
        <v>1870000</v>
      </c>
      <c r="AF12" s="109">
        <v>37500</v>
      </c>
      <c r="AG12" s="108">
        <v>200000</v>
      </c>
      <c r="AH12" s="110">
        <v>215</v>
      </c>
      <c r="AI12" s="111">
        <v>39.3</v>
      </c>
      <c r="AJ12" s="108">
        <v>1213</v>
      </c>
      <c r="AK12" s="80"/>
      <c r="AL12" s="80"/>
      <c r="AM12" s="80"/>
      <c r="AN12" s="80"/>
      <c r="AO12" s="80"/>
      <c r="AP12" s="80"/>
      <c r="AQ12" s="80"/>
      <c r="AR12" s="80"/>
      <c r="AS12" s="25"/>
    </row>
    <row r="13" spans="1:45" ht="18" customHeight="1">
      <c r="A13" s="36"/>
      <c r="B13" s="36"/>
      <c r="C13" s="36"/>
      <c r="D13" s="36"/>
      <c r="E13" s="36"/>
      <c r="F13" s="82" t="s">
        <v>114</v>
      </c>
      <c r="G13" s="36"/>
      <c r="H13" s="36"/>
      <c r="I13" s="36"/>
      <c r="J13" s="36"/>
      <c r="K13" s="36"/>
      <c r="L13" s="36"/>
      <c r="M13" s="587" t="s">
        <v>247</v>
      </c>
      <c r="N13" s="587"/>
      <c r="O13" s="36"/>
      <c r="P13" s="584">
        <f>VLOOKUP($L$12,$AC$6:$AJ$12,2,FALSE)</f>
        <v>69</v>
      </c>
      <c r="Q13" s="584"/>
      <c r="R13" s="584"/>
      <c r="S13" s="584"/>
      <c r="T13" s="585"/>
      <c r="U13" s="36" t="s">
        <v>76</v>
      </c>
      <c r="V13" s="36"/>
      <c r="W13" s="36"/>
      <c r="X13" s="80"/>
      <c r="Y13" s="80"/>
      <c r="Z13" s="113"/>
      <c r="AA13" s="36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25"/>
    </row>
    <row r="14" spans="1:45" ht="18" customHeight="1">
      <c r="A14" s="36"/>
      <c r="B14" s="36"/>
      <c r="C14" s="36"/>
      <c r="D14" s="36"/>
      <c r="E14" s="36"/>
      <c r="F14" s="82" t="s">
        <v>127</v>
      </c>
      <c r="G14" s="36"/>
      <c r="H14" s="36"/>
      <c r="I14" s="36"/>
      <c r="J14" s="36"/>
      <c r="K14" s="36"/>
      <c r="L14" s="36"/>
      <c r="M14" s="587" t="s">
        <v>248</v>
      </c>
      <c r="N14" s="587"/>
      <c r="O14" s="36"/>
      <c r="P14" s="584">
        <f>VLOOKUP($L$12,$AC$6:$AJ$12,3,FALSE)</f>
        <v>755000</v>
      </c>
      <c r="Q14" s="584"/>
      <c r="R14" s="584"/>
      <c r="S14" s="584"/>
      <c r="T14" s="585"/>
      <c r="U14" s="36" t="s">
        <v>249</v>
      </c>
      <c r="V14" s="36"/>
      <c r="W14" s="36"/>
      <c r="X14" s="80"/>
      <c r="Y14" s="80"/>
      <c r="Z14" s="28"/>
      <c r="AA14" s="36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25"/>
    </row>
    <row r="15" spans="1:45" ht="18" customHeight="1">
      <c r="A15" s="36"/>
      <c r="B15" s="36"/>
      <c r="C15" s="36"/>
      <c r="D15" s="36"/>
      <c r="E15" s="36"/>
      <c r="F15" s="36" t="s">
        <v>128</v>
      </c>
      <c r="G15" s="36"/>
      <c r="H15" s="36"/>
      <c r="I15" s="36"/>
      <c r="J15" s="36"/>
      <c r="K15" s="36"/>
      <c r="L15" s="36"/>
      <c r="M15" s="587" t="s">
        <v>250</v>
      </c>
      <c r="N15" s="587"/>
      <c r="O15" s="36"/>
      <c r="P15" s="584">
        <f>VLOOKUP($L$12,$AC$6:$AJ$12,4,FALSE)</f>
        <v>20100</v>
      </c>
      <c r="Q15" s="584"/>
      <c r="R15" s="584"/>
      <c r="S15" s="584"/>
      <c r="T15" s="585"/>
      <c r="U15" s="36" t="s">
        <v>251</v>
      </c>
      <c r="V15" s="36"/>
      <c r="W15" s="36"/>
      <c r="X15" s="80"/>
      <c r="Y15" s="80"/>
      <c r="Z15" s="28"/>
      <c r="AA15" s="36"/>
      <c r="AB15" s="80"/>
      <c r="AC15" s="81" t="s">
        <v>252</v>
      </c>
      <c r="AD15" s="81" t="s">
        <v>53</v>
      </c>
      <c r="AE15" s="81" t="s">
        <v>54</v>
      </c>
      <c r="AF15" s="81" t="s">
        <v>55</v>
      </c>
      <c r="AG15" s="81" t="s">
        <v>56</v>
      </c>
      <c r="AH15" s="81" t="s">
        <v>57</v>
      </c>
      <c r="AI15" s="81" t="s">
        <v>58</v>
      </c>
      <c r="AJ15" s="81" t="s">
        <v>59</v>
      </c>
      <c r="AK15" s="81" t="s">
        <v>60</v>
      </c>
      <c r="AL15" s="81" t="s">
        <v>61</v>
      </c>
      <c r="AM15" s="81" t="s">
        <v>62</v>
      </c>
      <c r="AN15" s="81" t="s">
        <v>63</v>
      </c>
      <c r="AO15" s="81" t="s">
        <v>68</v>
      </c>
      <c r="AP15" s="80"/>
      <c r="AQ15" s="80"/>
      <c r="AR15" s="80"/>
      <c r="AS15" s="25"/>
    </row>
    <row r="16" spans="1:45" ht="18" customHeight="1">
      <c r="A16" s="36"/>
      <c r="B16" s="36"/>
      <c r="C16" s="36"/>
      <c r="D16" s="36"/>
      <c r="E16" s="36"/>
      <c r="F16" s="36" t="s">
        <v>129</v>
      </c>
      <c r="G16" s="36"/>
      <c r="H16" s="36"/>
      <c r="I16" s="36"/>
      <c r="J16" s="36"/>
      <c r="K16" s="36"/>
      <c r="L16" s="36"/>
      <c r="M16" s="587" t="s">
        <v>253</v>
      </c>
      <c r="N16" s="587"/>
      <c r="O16" s="36"/>
      <c r="P16" s="584">
        <f>VLOOKUP($L$12,$AC$6:$AJ$12,5,FALSE)</f>
        <v>200000</v>
      </c>
      <c r="Q16" s="584"/>
      <c r="R16" s="584"/>
      <c r="S16" s="584"/>
      <c r="T16" s="585"/>
      <c r="U16" s="36" t="s">
        <v>254</v>
      </c>
      <c r="V16" s="36"/>
      <c r="W16" s="36"/>
      <c r="X16" s="80"/>
      <c r="Y16" s="80"/>
      <c r="Z16" s="28"/>
      <c r="AA16" s="36"/>
      <c r="AB16" s="80"/>
      <c r="AC16" s="114" t="s">
        <v>36</v>
      </c>
      <c r="AD16" s="115"/>
      <c r="AE16" s="114" t="s">
        <v>43</v>
      </c>
      <c r="AF16" s="116"/>
      <c r="AG16" s="116"/>
      <c r="AH16" s="117" t="s">
        <v>44</v>
      </c>
      <c r="AI16" s="118" t="s">
        <v>45</v>
      </c>
      <c r="AJ16" s="119"/>
      <c r="AK16" s="120" t="s">
        <v>51</v>
      </c>
      <c r="AL16" s="114" t="s">
        <v>46</v>
      </c>
      <c r="AM16" s="120" t="s">
        <v>52</v>
      </c>
      <c r="AN16" s="114" t="s">
        <v>67</v>
      </c>
      <c r="AO16" s="115"/>
      <c r="AP16" s="80"/>
      <c r="AQ16" s="80"/>
      <c r="AR16" s="80"/>
      <c r="AS16" s="25"/>
    </row>
    <row r="17" spans="1:45" ht="18" customHeight="1">
      <c r="A17" s="36"/>
      <c r="B17" s="36"/>
      <c r="C17" s="36"/>
      <c r="D17" s="36"/>
      <c r="E17" s="36"/>
      <c r="F17" s="36" t="s">
        <v>130</v>
      </c>
      <c r="G17" s="36"/>
      <c r="H17" s="36"/>
      <c r="I17" s="36"/>
      <c r="J17" s="36"/>
      <c r="K17" s="36"/>
      <c r="L17" s="36"/>
      <c r="M17" s="560" t="s">
        <v>131</v>
      </c>
      <c r="N17" s="560"/>
      <c r="O17" s="36"/>
      <c r="P17" s="584">
        <f>VLOOKUP($L$12,$AC$6:$AJ$12,6,FALSE)</f>
        <v>165</v>
      </c>
      <c r="Q17" s="584"/>
      <c r="R17" s="584"/>
      <c r="S17" s="584"/>
      <c r="T17" s="585"/>
      <c r="U17" s="36" t="s">
        <v>255</v>
      </c>
      <c r="V17" s="36"/>
      <c r="W17" s="36"/>
      <c r="X17" s="80"/>
      <c r="Y17" s="80"/>
      <c r="Z17" s="28"/>
      <c r="AA17" s="36"/>
      <c r="AB17" s="80"/>
      <c r="AC17" s="121"/>
      <c r="AD17" s="122"/>
      <c r="AE17" s="123" t="s">
        <v>42</v>
      </c>
      <c r="AF17" s="124"/>
      <c r="AG17" s="124"/>
      <c r="AH17" s="125" t="s">
        <v>75</v>
      </c>
      <c r="AI17" s="126" t="s">
        <v>76</v>
      </c>
      <c r="AJ17" s="127" t="s">
        <v>256</v>
      </c>
      <c r="AK17" s="125" t="s">
        <v>257</v>
      </c>
      <c r="AL17" s="123" t="s">
        <v>258</v>
      </c>
      <c r="AM17" s="125" t="s">
        <v>259</v>
      </c>
      <c r="AN17" s="123" t="s">
        <v>256</v>
      </c>
      <c r="AO17" s="128"/>
      <c r="AP17" s="80"/>
      <c r="AQ17" s="80"/>
      <c r="AR17" s="80"/>
      <c r="AS17" s="25"/>
    </row>
    <row r="18" spans="1:45" ht="18" customHeight="1">
      <c r="A18" s="36"/>
      <c r="B18" s="36"/>
      <c r="C18" s="36"/>
      <c r="D18" s="36"/>
      <c r="E18" s="36"/>
      <c r="F18" s="36" t="s">
        <v>133</v>
      </c>
      <c r="G18" s="36"/>
      <c r="H18" s="36"/>
      <c r="I18" s="36"/>
      <c r="J18" s="36"/>
      <c r="K18" s="36"/>
      <c r="L18" s="36"/>
      <c r="M18" s="587" t="s">
        <v>260</v>
      </c>
      <c r="N18" s="587"/>
      <c r="O18" s="36"/>
      <c r="P18" s="588">
        <f>VLOOKUP($L$12,$AC$6:$AJ$12,7,FALSE)</f>
        <v>29.1</v>
      </c>
      <c r="Q18" s="588"/>
      <c r="R18" s="588"/>
      <c r="S18" s="588"/>
      <c r="T18" s="585"/>
      <c r="U18" s="36" t="s">
        <v>94</v>
      </c>
      <c r="V18" s="36"/>
      <c r="W18" s="36"/>
      <c r="X18" s="80"/>
      <c r="Y18" s="80"/>
      <c r="Z18" s="28"/>
      <c r="AA18" s="36"/>
      <c r="AB18" s="80"/>
      <c r="AC18" s="129" t="s">
        <v>37</v>
      </c>
      <c r="AD18" s="130" t="s">
        <v>49</v>
      </c>
      <c r="AE18" s="131">
        <v>28</v>
      </c>
      <c r="AF18" s="132">
        <v>240</v>
      </c>
      <c r="AG18" s="133">
        <v>4000</v>
      </c>
      <c r="AH18" s="134">
        <v>176</v>
      </c>
      <c r="AI18" s="131">
        <v>44</v>
      </c>
      <c r="AJ18" s="135">
        <v>184</v>
      </c>
      <c r="AK18" s="92">
        <v>439000</v>
      </c>
      <c r="AL18" s="136">
        <v>31360</v>
      </c>
      <c r="AM18" s="92">
        <v>6860</v>
      </c>
      <c r="AN18" s="137">
        <v>16.2</v>
      </c>
      <c r="AO18" s="130" t="s">
        <v>47</v>
      </c>
      <c r="AP18" s="80"/>
      <c r="AQ18" s="80"/>
      <c r="AR18" s="80"/>
      <c r="AS18" s="25"/>
    </row>
    <row r="19" spans="1:45" ht="18" customHeight="1">
      <c r="A19" s="36"/>
      <c r="B19" s="36"/>
      <c r="C19" s="36"/>
      <c r="D19" s="36"/>
      <c r="E19" s="36"/>
      <c r="F19" s="82" t="s">
        <v>123</v>
      </c>
      <c r="G19" s="36"/>
      <c r="H19" s="36"/>
      <c r="I19" s="36"/>
      <c r="J19" s="36"/>
      <c r="K19" s="36"/>
      <c r="L19" s="36"/>
      <c r="M19" s="587" t="s">
        <v>261</v>
      </c>
      <c r="N19" s="587"/>
      <c r="O19" s="36"/>
      <c r="P19" s="588">
        <f>VLOOKUP($L$12,$AC$6:$AJ$12,8,FALSE)</f>
        <v>892.7</v>
      </c>
      <c r="Q19" s="588"/>
      <c r="R19" s="588"/>
      <c r="S19" s="588"/>
      <c r="T19" s="585"/>
      <c r="U19" s="36" t="s">
        <v>262</v>
      </c>
      <c r="V19" s="36"/>
      <c r="W19" s="36"/>
      <c r="X19" s="80"/>
      <c r="Y19" s="80"/>
      <c r="Z19" s="28"/>
      <c r="AA19" s="36"/>
      <c r="AB19" s="80"/>
      <c r="AC19" s="138" t="s">
        <v>38</v>
      </c>
      <c r="AD19" s="139"/>
      <c r="AE19" s="140">
        <v>28</v>
      </c>
      <c r="AF19" s="141">
        <v>200</v>
      </c>
      <c r="AG19" s="142">
        <v>4000</v>
      </c>
      <c r="AH19" s="143">
        <v>128</v>
      </c>
      <c r="AI19" s="140">
        <v>32</v>
      </c>
      <c r="AJ19" s="144">
        <v>160</v>
      </c>
      <c r="AK19" s="98">
        <v>439000</v>
      </c>
      <c r="AL19" s="145">
        <v>43200</v>
      </c>
      <c r="AM19" s="98">
        <v>8830</v>
      </c>
      <c r="AN19" s="146">
        <v>10.3</v>
      </c>
      <c r="AO19" s="139" t="s">
        <v>47</v>
      </c>
      <c r="AP19" s="80"/>
      <c r="AQ19" s="80"/>
      <c r="AR19" s="80"/>
      <c r="AS19" s="25"/>
    </row>
    <row r="20" spans="1:45" ht="18" customHeight="1">
      <c r="A20" s="36"/>
      <c r="B20" s="36"/>
      <c r="C20" s="36"/>
      <c r="D20" s="36"/>
      <c r="E20" s="36"/>
      <c r="F20" s="82"/>
      <c r="G20" s="36"/>
      <c r="H20" s="36"/>
      <c r="I20" s="36"/>
      <c r="J20" s="36"/>
      <c r="K20" s="36"/>
      <c r="L20" s="36"/>
      <c r="M20" s="41"/>
      <c r="N20" s="41"/>
      <c r="O20" s="36"/>
      <c r="P20" s="103"/>
      <c r="Q20" s="103"/>
      <c r="R20" s="103"/>
      <c r="S20" s="103"/>
      <c r="T20" s="112"/>
      <c r="U20" s="36"/>
      <c r="V20" s="36"/>
      <c r="W20" s="36"/>
      <c r="X20" s="80"/>
      <c r="Y20" s="80"/>
      <c r="Z20" s="28"/>
      <c r="AA20" s="36"/>
      <c r="AB20" s="80"/>
      <c r="AC20" s="138" t="s">
        <v>39</v>
      </c>
      <c r="AD20" s="139"/>
      <c r="AE20" s="140">
        <v>28</v>
      </c>
      <c r="AF20" s="141">
        <v>200</v>
      </c>
      <c r="AG20" s="142">
        <v>4000</v>
      </c>
      <c r="AH20" s="143">
        <v>176</v>
      </c>
      <c r="AI20" s="140">
        <v>44</v>
      </c>
      <c r="AJ20" s="144">
        <v>220</v>
      </c>
      <c r="AK20" s="98">
        <v>439000</v>
      </c>
      <c r="AL20" s="145">
        <v>43200</v>
      </c>
      <c r="AM20" s="98">
        <v>6860</v>
      </c>
      <c r="AN20" s="146">
        <v>13.2</v>
      </c>
      <c r="AO20" s="139" t="s">
        <v>47</v>
      </c>
      <c r="AP20" s="80"/>
      <c r="AQ20" s="80"/>
      <c r="AR20" s="80"/>
      <c r="AS20" s="25"/>
    </row>
    <row r="21" spans="1:45" ht="18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02"/>
      <c r="O21" s="96"/>
      <c r="P21" s="96"/>
      <c r="Q21" s="96"/>
      <c r="R21" s="96"/>
      <c r="S21" s="96"/>
      <c r="T21" s="36"/>
      <c r="U21" s="36"/>
      <c r="V21" s="36"/>
      <c r="W21" s="36"/>
      <c r="X21" s="36"/>
      <c r="Y21" s="36"/>
      <c r="Z21" s="36"/>
      <c r="AA21" s="36"/>
      <c r="AB21" s="80"/>
      <c r="AC21" s="138" t="s">
        <v>40</v>
      </c>
      <c r="AD21" s="139" t="s">
        <v>50</v>
      </c>
      <c r="AE21" s="140">
        <v>28</v>
      </c>
      <c r="AF21" s="141">
        <v>240</v>
      </c>
      <c r="AG21" s="142">
        <v>4000</v>
      </c>
      <c r="AH21" s="143">
        <v>124</v>
      </c>
      <c r="AI21" s="140">
        <v>31</v>
      </c>
      <c r="AJ21" s="144">
        <v>128</v>
      </c>
      <c r="AK21" s="98">
        <v>5190</v>
      </c>
      <c r="AL21" s="145">
        <v>3710</v>
      </c>
      <c r="AM21" s="98">
        <v>200000</v>
      </c>
      <c r="AN21" s="146">
        <v>185</v>
      </c>
      <c r="AO21" s="139" t="s">
        <v>48</v>
      </c>
      <c r="AP21" s="80"/>
      <c r="AQ21" s="80"/>
      <c r="AR21" s="80"/>
      <c r="AS21" s="25"/>
    </row>
    <row r="22" spans="1:45" ht="18" customHeight="1">
      <c r="A22" s="36"/>
      <c r="B22" s="36"/>
      <c r="C22" s="36"/>
      <c r="D22" s="36" t="s">
        <v>263</v>
      </c>
      <c r="E22" s="36"/>
      <c r="F22" s="36"/>
      <c r="G22" s="36"/>
      <c r="H22" s="36"/>
      <c r="I22" s="42"/>
      <c r="J22" s="80"/>
      <c r="K22" s="36"/>
      <c r="L22" s="577" t="s">
        <v>794</v>
      </c>
      <c r="M22" s="556"/>
      <c r="N22" s="556"/>
      <c r="O22" s="556"/>
      <c r="P22" s="556"/>
      <c r="Q22" s="556"/>
      <c r="R22" s="556"/>
      <c r="S22" s="36"/>
      <c r="T22" s="36"/>
      <c r="U22" s="106"/>
      <c r="V22" s="106"/>
      <c r="W22" s="106"/>
      <c r="X22" s="36"/>
      <c r="Y22" s="80"/>
      <c r="Z22" s="80"/>
      <c r="AA22" s="36"/>
      <c r="AB22" s="80"/>
      <c r="AC22" s="147" t="s">
        <v>41</v>
      </c>
      <c r="AD22" s="148" t="s">
        <v>50</v>
      </c>
      <c r="AE22" s="149">
        <v>28</v>
      </c>
      <c r="AF22" s="150">
        <v>240</v>
      </c>
      <c r="AG22" s="151">
        <v>4000</v>
      </c>
      <c r="AH22" s="152">
        <v>100</v>
      </c>
      <c r="AI22" s="149">
        <v>25</v>
      </c>
      <c r="AJ22" s="153">
        <v>103</v>
      </c>
      <c r="AK22" s="108">
        <v>7290</v>
      </c>
      <c r="AL22" s="154">
        <v>5210</v>
      </c>
      <c r="AM22" s="108">
        <v>70300</v>
      </c>
      <c r="AN22" s="155">
        <v>98</v>
      </c>
      <c r="AO22" s="148" t="s">
        <v>48</v>
      </c>
      <c r="AP22" s="80"/>
      <c r="AQ22" s="80"/>
      <c r="AR22" s="80"/>
      <c r="AS22" s="25"/>
    </row>
    <row r="23" spans="1:45" ht="18" customHeight="1">
      <c r="A23" s="36"/>
      <c r="B23" s="36"/>
      <c r="C23" s="36"/>
      <c r="D23" s="36"/>
      <c r="E23" s="36"/>
      <c r="F23" s="82" t="s">
        <v>114</v>
      </c>
      <c r="G23" s="36"/>
      <c r="H23" s="36"/>
      <c r="I23" s="36"/>
      <c r="J23" s="36"/>
      <c r="K23" s="36"/>
      <c r="L23" s="36"/>
      <c r="M23" s="587" t="s">
        <v>264</v>
      </c>
      <c r="N23" s="587"/>
      <c r="O23" s="36"/>
      <c r="P23" s="584">
        <f>VLOOKUP($L$22,$AC$6:$AJ$12,2,FALSE)</f>
        <v>93</v>
      </c>
      <c r="Q23" s="584"/>
      <c r="R23" s="584"/>
      <c r="S23" s="584"/>
      <c r="T23" s="585"/>
      <c r="U23" s="36" t="s">
        <v>265</v>
      </c>
      <c r="V23" s="36"/>
      <c r="W23" s="36"/>
      <c r="X23" s="80"/>
      <c r="Y23" s="80"/>
      <c r="Z23" s="113"/>
      <c r="AA23" s="36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25"/>
    </row>
    <row r="24" spans="1:45" ht="18" customHeight="1">
      <c r="A24" s="36"/>
      <c r="B24" s="36"/>
      <c r="C24" s="36"/>
      <c r="D24" s="36"/>
      <c r="E24" s="36"/>
      <c r="F24" s="82" t="s">
        <v>127</v>
      </c>
      <c r="G24" s="36"/>
      <c r="H24" s="36"/>
      <c r="I24" s="36"/>
      <c r="J24" s="36"/>
      <c r="K24" s="36"/>
      <c r="L24" s="36"/>
      <c r="M24" s="587" t="s">
        <v>266</v>
      </c>
      <c r="N24" s="587"/>
      <c r="O24" s="36"/>
      <c r="P24" s="584">
        <f>VLOOKUP($L$22,$AC$6:$AJ$12,3,FALSE)</f>
        <v>1870000</v>
      </c>
      <c r="Q24" s="584"/>
      <c r="R24" s="584"/>
      <c r="S24" s="584"/>
      <c r="T24" s="585"/>
      <c r="U24" s="36" t="s">
        <v>267</v>
      </c>
      <c r="V24" s="36"/>
      <c r="W24" s="36"/>
      <c r="X24" s="80"/>
      <c r="Y24" s="80"/>
      <c r="Z24" s="28"/>
      <c r="AA24" s="36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25"/>
    </row>
    <row r="25" spans="1:45" ht="18" customHeight="1">
      <c r="A25" s="36"/>
      <c r="B25" s="36"/>
      <c r="C25" s="36"/>
      <c r="D25" s="36"/>
      <c r="E25" s="36"/>
      <c r="F25" s="36" t="s">
        <v>128</v>
      </c>
      <c r="G25" s="36"/>
      <c r="H25" s="36"/>
      <c r="I25" s="36"/>
      <c r="J25" s="36"/>
      <c r="K25" s="36"/>
      <c r="L25" s="36"/>
      <c r="M25" s="587" t="s">
        <v>268</v>
      </c>
      <c r="N25" s="587"/>
      <c r="O25" s="36"/>
      <c r="P25" s="584">
        <f>VLOOKUP($L$22,$AC$6:$AJ$12,4,FALSE)</f>
        <v>37500</v>
      </c>
      <c r="Q25" s="584"/>
      <c r="R25" s="584"/>
      <c r="S25" s="584"/>
      <c r="T25" s="585"/>
      <c r="U25" s="36" t="s">
        <v>269</v>
      </c>
      <c r="V25" s="36"/>
      <c r="W25" s="36"/>
      <c r="X25" s="80"/>
      <c r="Y25" s="80"/>
      <c r="Z25" s="28"/>
      <c r="AA25" s="36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25"/>
    </row>
    <row r="26" spans="1:45" ht="18" customHeight="1">
      <c r="A26" s="36"/>
      <c r="B26" s="36"/>
      <c r="C26" s="36"/>
      <c r="D26" s="36"/>
      <c r="E26" s="36"/>
      <c r="F26" s="36" t="s">
        <v>129</v>
      </c>
      <c r="G26" s="36"/>
      <c r="H26" s="36"/>
      <c r="I26" s="36"/>
      <c r="J26" s="36"/>
      <c r="K26" s="36"/>
      <c r="L26" s="36"/>
      <c r="M26" s="587" t="s">
        <v>270</v>
      </c>
      <c r="N26" s="587"/>
      <c r="O26" s="36"/>
      <c r="P26" s="584">
        <f>VLOOKUP($L$22,$AC$6:$AJ$12,5,FALSE)</f>
        <v>200000</v>
      </c>
      <c r="Q26" s="584"/>
      <c r="R26" s="584"/>
      <c r="S26" s="584"/>
      <c r="T26" s="585"/>
      <c r="U26" s="36" t="s">
        <v>271</v>
      </c>
      <c r="V26" s="36"/>
      <c r="W26" s="36"/>
      <c r="X26" s="80"/>
      <c r="Y26" s="80"/>
      <c r="Z26" s="28"/>
      <c r="AA26" s="36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25"/>
    </row>
    <row r="27" spans="1:45" ht="18" customHeight="1">
      <c r="A27" s="36"/>
      <c r="B27" s="36"/>
      <c r="C27" s="36"/>
      <c r="D27" s="36"/>
      <c r="E27" s="36"/>
      <c r="F27" s="36" t="s">
        <v>130</v>
      </c>
      <c r="G27" s="36"/>
      <c r="H27" s="36"/>
      <c r="I27" s="36"/>
      <c r="J27" s="36"/>
      <c r="K27" s="36"/>
      <c r="L27" s="36"/>
      <c r="M27" s="560" t="s">
        <v>131</v>
      </c>
      <c r="N27" s="560"/>
      <c r="O27" s="36"/>
      <c r="P27" s="584">
        <f>VLOOKUP($L$22,$AC$6:$AJ$12,6,FALSE)</f>
        <v>165</v>
      </c>
      <c r="Q27" s="584"/>
      <c r="R27" s="584"/>
      <c r="S27" s="584"/>
      <c r="T27" s="585"/>
      <c r="U27" s="36" t="s">
        <v>271</v>
      </c>
      <c r="V27" s="36"/>
      <c r="W27" s="36"/>
      <c r="X27" s="80"/>
      <c r="Y27" s="80"/>
      <c r="Z27" s="28"/>
      <c r="AA27" s="36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25"/>
    </row>
    <row r="28" spans="1:45" ht="18" customHeight="1">
      <c r="A28" s="36"/>
      <c r="B28" s="36"/>
      <c r="C28" s="36"/>
      <c r="D28" s="36"/>
      <c r="E28" s="36"/>
      <c r="F28" s="36" t="s">
        <v>133</v>
      </c>
      <c r="G28" s="36"/>
      <c r="H28" s="36"/>
      <c r="I28" s="36"/>
      <c r="J28" s="36"/>
      <c r="K28" s="36"/>
      <c r="L28" s="36"/>
      <c r="M28" s="587" t="s">
        <v>272</v>
      </c>
      <c r="N28" s="587"/>
      <c r="O28" s="36"/>
      <c r="P28" s="588">
        <f>VLOOKUP($L$22,$AC$6:$AJ$12,7,FALSE)</f>
        <v>39.3</v>
      </c>
      <c r="Q28" s="588"/>
      <c r="R28" s="588"/>
      <c r="S28" s="588"/>
      <c r="T28" s="585"/>
      <c r="U28" s="36" t="s">
        <v>273</v>
      </c>
      <c r="V28" s="36"/>
      <c r="W28" s="36"/>
      <c r="X28" s="80"/>
      <c r="Y28" s="80"/>
      <c r="Z28" s="28"/>
      <c r="AA28" s="36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25"/>
    </row>
    <row r="29" spans="1:72" ht="18" customHeight="1">
      <c r="A29" s="36"/>
      <c r="B29" s="36"/>
      <c r="C29" s="36"/>
      <c r="D29" s="36"/>
      <c r="E29" s="36"/>
      <c r="F29" s="82" t="s">
        <v>123</v>
      </c>
      <c r="G29" s="36"/>
      <c r="H29" s="36"/>
      <c r="I29" s="36"/>
      <c r="J29" s="36"/>
      <c r="K29" s="36"/>
      <c r="L29" s="36"/>
      <c r="M29" s="587" t="s">
        <v>261</v>
      </c>
      <c r="N29" s="587"/>
      <c r="O29" s="36"/>
      <c r="P29" s="588">
        <f>VLOOKUP($L$22,$AC$6:$AJ$12,8,FALSE)</f>
        <v>1213</v>
      </c>
      <c r="Q29" s="588"/>
      <c r="R29" s="588"/>
      <c r="S29" s="588"/>
      <c r="T29" s="585"/>
      <c r="U29" s="36" t="s">
        <v>262</v>
      </c>
      <c r="V29" s="36"/>
      <c r="W29" s="36"/>
      <c r="X29" s="80"/>
      <c r="Y29" s="80"/>
      <c r="Z29" s="28"/>
      <c r="AA29" s="36"/>
      <c r="AB29" s="36"/>
      <c r="AC29" s="81" t="s">
        <v>274</v>
      </c>
      <c r="AD29" s="81" t="s">
        <v>53</v>
      </c>
      <c r="AE29" s="81" t="s">
        <v>54</v>
      </c>
      <c r="AF29" s="81"/>
      <c r="AG29" s="81" t="s">
        <v>56</v>
      </c>
      <c r="AH29" s="81"/>
      <c r="AI29" s="156"/>
      <c r="AJ29" s="156"/>
      <c r="AK29" s="156"/>
      <c r="AL29" s="157"/>
      <c r="AM29" s="157"/>
      <c r="AN29" s="158"/>
      <c r="AO29" s="159"/>
      <c r="AP29" s="157"/>
      <c r="AQ29" s="158"/>
      <c r="AR29" s="158"/>
      <c r="AS29" s="27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</row>
    <row r="30" spans="1:72" ht="18" customHeight="1">
      <c r="A30" s="36"/>
      <c r="B30" s="36"/>
      <c r="C30" s="36"/>
      <c r="D30" s="36"/>
      <c r="E30" s="36"/>
      <c r="F30" s="82"/>
      <c r="G30" s="36"/>
      <c r="H30" s="36"/>
      <c r="I30" s="36"/>
      <c r="J30" s="36"/>
      <c r="K30" s="36"/>
      <c r="L30" s="36"/>
      <c r="M30" s="41"/>
      <c r="N30" s="41"/>
      <c r="O30" s="36"/>
      <c r="P30" s="103"/>
      <c r="Q30" s="103"/>
      <c r="R30" s="103"/>
      <c r="S30" s="103"/>
      <c r="T30" s="112"/>
      <c r="U30" s="36"/>
      <c r="V30" s="36"/>
      <c r="W30" s="36"/>
      <c r="X30" s="80"/>
      <c r="Y30" s="80"/>
      <c r="Z30" s="28"/>
      <c r="AA30" s="36"/>
      <c r="AB30" s="36"/>
      <c r="AC30" s="558" t="s">
        <v>95</v>
      </c>
      <c r="AD30" s="160" t="s">
        <v>64</v>
      </c>
      <c r="AE30" s="580" t="s">
        <v>73</v>
      </c>
      <c r="AF30" s="581"/>
      <c r="AG30" s="580" t="s">
        <v>74</v>
      </c>
      <c r="AH30" s="581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27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</row>
    <row r="31" spans="1:72" ht="18" customHeight="1">
      <c r="A31" s="36"/>
      <c r="B31" s="36"/>
      <c r="C31" s="36" t="s">
        <v>275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161"/>
      <c r="AC31" s="559"/>
      <c r="AD31" s="162" t="s">
        <v>276</v>
      </c>
      <c r="AE31" s="563" t="s">
        <v>277</v>
      </c>
      <c r="AF31" s="564"/>
      <c r="AG31" s="563" t="s">
        <v>277</v>
      </c>
      <c r="AH31" s="564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27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</row>
    <row r="32" spans="1:72" ht="18" customHeight="1">
      <c r="A32" s="36"/>
      <c r="B32" s="36"/>
      <c r="C32" s="80"/>
      <c r="D32" s="36" t="s">
        <v>159</v>
      </c>
      <c r="E32" s="36"/>
      <c r="F32" s="36"/>
      <c r="G32" s="36"/>
      <c r="H32" s="36" t="s">
        <v>567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41"/>
      <c r="T32" s="41"/>
      <c r="U32" s="41"/>
      <c r="V32" s="41"/>
      <c r="W32" s="41"/>
      <c r="X32" s="36"/>
      <c r="Y32" s="36"/>
      <c r="Z32" s="36"/>
      <c r="AA32" s="36"/>
      <c r="AB32" s="36"/>
      <c r="AC32" s="163" t="s">
        <v>71</v>
      </c>
      <c r="AD32" s="134">
        <v>7</v>
      </c>
      <c r="AE32" s="565">
        <v>11800</v>
      </c>
      <c r="AF32" s="566"/>
      <c r="AG32" s="565">
        <v>2360</v>
      </c>
      <c r="AH32" s="566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27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</row>
    <row r="33" spans="1:72" ht="18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1"/>
      <c r="N33" s="41"/>
      <c r="O33" s="36"/>
      <c r="P33" s="75"/>
      <c r="Q33" s="75"/>
      <c r="R33" s="164"/>
      <c r="S33" s="79"/>
      <c r="T33" s="79"/>
      <c r="U33" s="36"/>
      <c r="V33" s="165"/>
      <c r="W33" s="36"/>
      <c r="X33" s="36"/>
      <c r="Y33" s="36"/>
      <c r="Z33" s="36"/>
      <c r="AA33" s="36"/>
      <c r="AB33" s="36"/>
      <c r="AC33" s="166" t="s">
        <v>72</v>
      </c>
      <c r="AD33" s="152">
        <v>7</v>
      </c>
      <c r="AE33" s="567">
        <v>11800</v>
      </c>
      <c r="AF33" s="568"/>
      <c r="AG33" s="567">
        <v>4250</v>
      </c>
      <c r="AH33" s="56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27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45" ht="18" customHeight="1">
      <c r="A34" s="36"/>
      <c r="B34" s="36"/>
      <c r="C34" s="80"/>
      <c r="D34" s="36" t="s">
        <v>160</v>
      </c>
      <c r="E34" s="36"/>
      <c r="F34" s="36"/>
      <c r="G34" s="36"/>
      <c r="H34" s="36" t="s">
        <v>567</v>
      </c>
      <c r="I34" s="36"/>
      <c r="J34" s="36"/>
      <c r="K34" s="36"/>
      <c r="L34" s="36"/>
      <c r="M34" s="41"/>
      <c r="N34" s="36"/>
      <c r="O34" s="41"/>
      <c r="P34" s="75"/>
      <c r="Q34" s="75"/>
      <c r="R34" s="36"/>
      <c r="S34" s="41"/>
      <c r="T34" s="41"/>
      <c r="U34" s="41"/>
      <c r="V34" s="41"/>
      <c r="W34" s="41"/>
      <c r="X34" s="36"/>
      <c r="Y34" s="36"/>
      <c r="Z34" s="36"/>
      <c r="AA34" s="36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25"/>
    </row>
    <row r="35" spans="1:45" ht="18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41"/>
      <c r="O35" s="96"/>
      <c r="P35" s="96"/>
      <c r="Q35" s="96"/>
      <c r="R35" s="96"/>
      <c r="S35" s="96"/>
      <c r="T35" s="36"/>
      <c r="U35" s="36"/>
      <c r="V35" s="36"/>
      <c r="W35" s="36"/>
      <c r="X35" s="36"/>
      <c r="Y35" s="36"/>
      <c r="Z35" s="36"/>
      <c r="AA35" s="36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25"/>
    </row>
    <row r="36" spans="1:45" ht="18" customHeight="1">
      <c r="A36" s="36"/>
      <c r="B36" s="36"/>
      <c r="C36" s="82" t="s">
        <v>113</v>
      </c>
      <c r="D36" s="82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25"/>
    </row>
    <row r="37" spans="1:45" ht="18" customHeight="1">
      <c r="A37" s="36"/>
      <c r="B37" s="36"/>
      <c r="C37" s="36"/>
      <c r="D37" s="36"/>
      <c r="E37" s="36"/>
      <c r="F37" s="82" t="s">
        <v>114</v>
      </c>
      <c r="G37" s="36"/>
      <c r="H37" s="36"/>
      <c r="I37" s="36"/>
      <c r="J37" s="36"/>
      <c r="K37" s="36"/>
      <c r="L37" s="36"/>
      <c r="M37" s="36"/>
      <c r="N37" s="41" t="s">
        <v>115</v>
      </c>
      <c r="O37" s="36"/>
      <c r="P37" s="549">
        <v>7</v>
      </c>
      <c r="Q37" s="550"/>
      <c r="R37" s="550"/>
      <c r="S37" s="550"/>
      <c r="T37" s="550"/>
      <c r="U37" s="36" t="s">
        <v>278</v>
      </c>
      <c r="V37" s="36"/>
      <c r="W37" s="36"/>
      <c r="X37" s="36"/>
      <c r="Y37" s="36"/>
      <c r="Z37" s="36"/>
      <c r="AA37" s="36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25"/>
    </row>
    <row r="38" spans="1:45" ht="18" customHeight="1">
      <c r="A38" s="36"/>
      <c r="B38" s="36"/>
      <c r="C38" s="36"/>
      <c r="D38" s="36"/>
      <c r="E38" s="36"/>
      <c r="F38" s="78" t="s">
        <v>139</v>
      </c>
      <c r="G38" s="36"/>
      <c r="H38" s="36"/>
      <c r="I38" s="36"/>
      <c r="J38" s="36"/>
      <c r="K38" s="36"/>
      <c r="L38" s="36"/>
      <c r="M38" s="36" t="s">
        <v>118</v>
      </c>
      <c r="N38" s="36"/>
      <c r="O38" s="62"/>
      <c r="P38" s="545">
        <v>4900</v>
      </c>
      <c r="Q38" s="546"/>
      <c r="R38" s="546"/>
      <c r="S38" s="546"/>
      <c r="T38" s="546"/>
      <c r="U38" s="36" t="s">
        <v>277</v>
      </c>
      <c r="V38" s="36"/>
      <c r="W38" s="36"/>
      <c r="X38" s="36"/>
      <c r="Y38" s="36"/>
      <c r="Z38" s="36"/>
      <c r="AA38" s="36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25"/>
    </row>
    <row r="39" spans="1:45" ht="18" customHeight="1">
      <c r="A39" s="36"/>
      <c r="B39" s="36"/>
      <c r="C39" s="36"/>
      <c r="D39" s="36"/>
      <c r="E39" s="36"/>
      <c r="F39" s="82"/>
      <c r="G39" s="36"/>
      <c r="H39" s="36"/>
      <c r="I39" s="36"/>
      <c r="J39" s="36"/>
      <c r="K39" s="36"/>
      <c r="L39" s="36"/>
      <c r="M39" s="36" t="s">
        <v>119</v>
      </c>
      <c r="N39" s="36"/>
      <c r="O39" s="62"/>
      <c r="P39" s="545">
        <v>3430</v>
      </c>
      <c r="Q39" s="546"/>
      <c r="R39" s="546"/>
      <c r="S39" s="546"/>
      <c r="T39" s="546"/>
      <c r="U39" s="36" t="s">
        <v>277</v>
      </c>
      <c r="V39" s="36"/>
      <c r="W39" s="36"/>
      <c r="X39" s="36"/>
      <c r="Y39" s="36"/>
      <c r="Z39" s="36"/>
      <c r="AA39" s="36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25"/>
    </row>
    <row r="40" spans="1:45" ht="18" customHeight="1">
      <c r="A40" s="36"/>
      <c r="B40" s="36"/>
      <c r="C40" s="36"/>
      <c r="D40" s="36"/>
      <c r="E40" s="36"/>
      <c r="F40" s="82" t="s">
        <v>138</v>
      </c>
      <c r="G40" s="36"/>
      <c r="H40" s="36"/>
      <c r="I40" s="36"/>
      <c r="J40" s="36"/>
      <c r="K40" s="36" t="s">
        <v>116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25"/>
    </row>
    <row r="41" spans="1:45" ht="18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 t="s">
        <v>117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25"/>
    </row>
    <row r="42" spans="1:45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 t="s">
        <v>118</v>
      </c>
      <c r="N42" s="36"/>
      <c r="O42" s="36"/>
      <c r="P42" s="547">
        <v>14.7</v>
      </c>
      <c r="Q42" s="548"/>
      <c r="R42" s="548"/>
      <c r="S42" s="548"/>
      <c r="T42" s="548"/>
      <c r="U42" s="36" t="s">
        <v>285</v>
      </c>
      <c r="V42" s="36"/>
      <c r="W42" s="79"/>
      <c r="X42" s="79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25"/>
    </row>
    <row r="43" spans="1:45" ht="18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 t="s">
        <v>119</v>
      </c>
      <c r="N43" s="36"/>
      <c r="O43" s="36"/>
      <c r="P43" s="548">
        <v>9.81</v>
      </c>
      <c r="Q43" s="548"/>
      <c r="R43" s="548"/>
      <c r="S43" s="548"/>
      <c r="T43" s="548"/>
      <c r="U43" s="36" t="s">
        <v>136</v>
      </c>
      <c r="V43" s="36"/>
      <c r="W43" s="79"/>
      <c r="X43" s="79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25"/>
    </row>
    <row r="44" spans="1:45" ht="18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168"/>
      <c r="Q44" s="168"/>
      <c r="R44" s="168"/>
      <c r="S44" s="168"/>
      <c r="T44" s="168"/>
      <c r="U44" s="36"/>
      <c r="V44" s="36"/>
      <c r="W44" s="79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25"/>
    </row>
    <row r="45" spans="1:45" ht="18" customHeight="1">
      <c r="A45" s="36"/>
      <c r="B45" s="36"/>
      <c r="C45" s="36" t="s">
        <v>287</v>
      </c>
      <c r="D45" s="36"/>
      <c r="E45" s="36"/>
      <c r="F45" s="36"/>
      <c r="G45" s="36"/>
      <c r="H45" s="36"/>
      <c r="I45" s="577" t="s">
        <v>204</v>
      </c>
      <c r="J45" s="577"/>
      <c r="K45" s="577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25"/>
    </row>
    <row r="46" spans="1:45" ht="18" customHeight="1">
      <c r="A46" s="36"/>
      <c r="B46" s="36"/>
      <c r="C46" s="36"/>
      <c r="D46" s="36"/>
      <c r="E46" s="36"/>
      <c r="F46" s="82" t="s">
        <v>114</v>
      </c>
      <c r="G46" s="36"/>
      <c r="H46" s="36"/>
      <c r="I46" s="36"/>
      <c r="J46" s="36"/>
      <c r="K46" s="36"/>
      <c r="L46" s="36"/>
      <c r="M46" s="36"/>
      <c r="N46" s="41" t="s">
        <v>115</v>
      </c>
      <c r="O46" s="36"/>
      <c r="P46" s="593">
        <f>VLOOKUP($I$45,$AC$51:$AI$52,3,FALSE)</f>
        <v>0.0631</v>
      </c>
      <c r="Q46" s="593"/>
      <c r="R46" s="593"/>
      <c r="S46" s="594"/>
      <c r="T46" s="594"/>
      <c r="U46" s="36" t="s">
        <v>289</v>
      </c>
      <c r="V46" s="36"/>
      <c r="W46" s="36"/>
      <c r="X46" s="36"/>
      <c r="Y46" s="36"/>
      <c r="Z46" s="36"/>
      <c r="AA46" s="36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25"/>
    </row>
    <row r="47" spans="1:45" ht="17.25" customHeight="1">
      <c r="A47" s="36"/>
      <c r="B47" s="36"/>
      <c r="C47" s="36"/>
      <c r="D47" s="36"/>
      <c r="E47" s="36"/>
      <c r="F47" s="82" t="s">
        <v>120</v>
      </c>
      <c r="G47" s="36"/>
      <c r="H47" s="36"/>
      <c r="I47" s="36"/>
      <c r="J47" s="36"/>
      <c r="K47" s="36"/>
      <c r="L47" s="36"/>
      <c r="M47" s="36"/>
      <c r="N47" s="41" t="s">
        <v>121</v>
      </c>
      <c r="O47" s="36"/>
      <c r="P47" s="575">
        <f>VLOOKUP($I$45,$AC$51:$AI$52,2,FALSE)</f>
        <v>3.2</v>
      </c>
      <c r="Q47" s="575"/>
      <c r="R47" s="575"/>
      <c r="S47" s="576"/>
      <c r="T47" s="576"/>
      <c r="U47" s="36" t="s">
        <v>122</v>
      </c>
      <c r="V47" s="36"/>
      <c r="W47" s="36"/>
      <c r="X47" s="36"/>
      <c r="Y47" s="36"/>
      <c r="Z47" s="36"/>
      <c r="AA47" s="36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25"/>
    </row>
    <row r="48" spans="1:45" ht="18" customHeight="1">
      <c r="A48" s="36"/>
      <c r="B48" s="36"/>
      <c r="C48" s="36"/>
      <c r="D48" s="36"/>
      <c r="E48" s="36"/>
      <c r="F48" s="36" t="s">
        <v>123</v>
      </c>
      <c r="G48" s="36"/>
      <c r="H48" s="36"/>
      <c r="I48" s="36"/>
      <c r="J48" s="36"/>
      <c r="K48" s="36"/>
      <c r="L48" s="36"/>
      <c r="M48" s="36"/>
      <c r="N48" s="41" t="s">
        <v>124</v>
      </c>
      <c r="O48" s="36"/>
      <c r="P48" s="589">
        <f>VLOOKUP($I$45,$AC$51:$AI$52,4,FALSE)</f>
        <v>8.03</v>
      </c>
      <c r="Q48" s="589"/>
      <c r="R48" s="589"/>
      <c r="S48" s="590"/>
      <c r="T48" s="590"/>
      <c r="U48" s="36" t="s">
        <v>291</v>
      </c>
      <c r="V48" s="36"/>
      <c r="W48" s="36"/>
      <c r="X48" s="36"/>
      <c r="Y48" s="36"/>
      <c r="Z48" s="36"/>
      <c r="AA48" s="36"/>
      <c r="AB48" s="80"/>
      <c r="AC48" s="81" t="s">
        <v>279</v>
      </c>
      <c r="AD48" s="81" t="s">
        <v>53</v>
      </c>
      <c r="AE48" s="81" t="s">
        <v>54</v>
      </c>
      <c r="AF48" s="81" t="s">
        <v>55</v>
      </c>
      <c r="AG48" s="81" t="s">
        <v>56</v>
      </c>
      <c r="AH48" s="81" t="s">
        <v>57</v>
      </c>
      <c r="AI48" s="81" t="s">
        <v>58</v>
      </c>
      <c r="AJ48" s="80"/>
      <c r="AK48" s="80"/>
      <c r="AL48" s="80"/>
      <c r="AM48" s="80"/>
      <c r="AN48" s="80"/>
      <c r="AO48" s="80"/>
      <c r="AP48" s="80"/>
      <c r="AQ48" s="80"/>
      <c r="AR48" s="80"/>
      <c r="AS48" s="25"/>
    </row>
    <row r="49" spans="1:45" ht="18" customHeight="1">
      <c r="A49" s="36"/>
      <c r="B49" s="36"/>
      <c r="C49" s="36"/>
      <c r="D49" s="36"/>
      <c r="E49" s="36"/>
      <c r="F49" s="82" t="s">
        <v>125</v>
      </c>
      <c r="G49" s="36"/>
      <c r="H49" s="36"/>
      <c r="I49" s="36"/>
      <c r="J49" s="36"/>
      <c r="K49" s="36"/>
      <c r="L49" s="36"/>
      <c r="M49" s="36"/>
      <c r="N49" s="41" t="s">
        <v>7</v>
      </c>
      <c r="O49" s="539">
        <f>VLOOKUP($I$45,$AC$51:$AI$52,5,FALSE)</f>
        <v>2090</v>
      </c>
      <c r="P49" s="539"/>
      <c r="Q49" s="540"/>
      <c r="R49" s="41" t="s">
        <v>293</v>
      </c>
      <c r="S49" s="539">
        <f>VLOOKUP($I$45,$AC$51:$AI$52,7,FALSE)</f>
        <v>4740</v>
      </c>
      <c r="T49" s="540"/>
      <c r="U49" s="540"/>
      <c r="V49" s="36" t="s">
        <v>294</v>
      </c>
      <c r="W49" s="36"/>
      <c r="X49" s="36"/>
      <c r="Y49" s="36"/>
      <c r="Z49" s="62"/>
      <c r="AA49" s="36"/>
      <c r="AB49" s="80"/>
      <c r="AC49" s="84" t="s">
        <v>140</v>
      </c>
      <c r="AD49" s="84" t="s">
        <v>64</v>
      </c>
      <c r="AE49" s="169" t="s">
        <v>45</v>
      </c>
      <c r="AF49" s="84" t="s">
        <v>69</v>
      </c>
      <c r="AG49" s="170" t="s">
        <v>141</v>
      </c>
      <c r="AH49" s="171"/>
      <c r="AI49" s="172"/>
      <c r="AJ49" s="173"/>
      <c r="AK49" s="173"/>
      <c r="AL49" s="173"/>
      <c r="AM49" s="80"/>
      <c r="AN49" s="80"/>
      <c r="AO49" s="80"/>
      <c r="AP49" s="80"/>
      <c r="AQ49" s="80"/>
      <c r="AR49" s="80"/>
      <c r="AS49" s="25"/>
    </row>
    <row r="50" spans="1:45" ht="18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80"/>
      <c r="AC50" s="88" t="s">
        <v>280</v>
      </c>
      <c r="AD50" s="88" t="s">
        <v>281</v>
      </c>
      <c r="AE50" s="174" t="s">
        <v>282</v>
      </c>
      <c r="AF50" s="88" t="s">
        <v>283</v>
      </c>
      <c r="AG50" s="90" t="s">
        <v>284</v>
      </c>
      <c r="AH50" s="175"/>
      <c r="AI50" s="176"/>
      <c r="AJ50" s="173"/>
      <c r="AK50" s="173"/>
      <c r="AL50" s="173"/>
      <c r="AM50" s="80"/>
      <c r="AN50" s="80"/>
      <c r="AO50" s="80"/>
      <c r="AP50" s="80"/>
      <c r="AQ50" s="80"/>
      <c r="AR50" s="80"/>
      <c r="AS50" s="25"/>
    </row>
    <row r="51" spans="1:45" ht="18" customHeight="1">
      <c r="A51" s="36"/>
      <c r="B51" s="36"/>
      <c r="C51" s="36" t="s">
        <v>146</v>
      </c>
      <c r="D51" s="36"/>
      <c r="E51" s="36"/>
      <c r="F51" s="36"/>
      <c r="G51" s="36"/>
      <c r="H51" s="36" t="s">
        <v>147</v>
      </c>
      <c r="I51" s="36"/>
      <c r="J51" s="577" t="s">
        <v>145</v>
      </c>
      <c r="K51" s="577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80"/>
      <c r="AC51" s="177" t="s">
        <v>204</v>
      </c>
      <c r="AD51" s="178">
        <v>3.2</v>
      </c>
      <c r="AE51" s="179">
        <v>0.0631</v>
      </c>
      <c r="AF51" s="180">
        <v>8.03</v>
      </c>
      <c r="AG51" s="181">
        <v>2090</v>
      </c>
      <c r="AH51" s="182" t="s">
        <v>286</v>
      </c>
      <c r="AI51" s="183">
        <v>4740</v>
      </c>
      <c r="AJ51" s="184"/>
      <c r="AK51" s="184"/>
      <c r="AL51" s="173"/>
      <c r="AM51" s="80"/>
      <c r="AN51" s="80"/>
      <c r="AO51" s="80"/>
      <c r="AP51" s="80"/>
      <c r="AQ51" s="80"/>
      <c r="AR51" s="80"/>
      <c r="AS51" s="25"/>
    </row>
    <row r="52" spans="1:45" ht="18" customHeight="1">
      <c r="A52" s="36"/>
      <c r="B52" s="36"/>
      <c r="C52" s="36"/>
      <c r="D52" s="36"/>
      <c r="E52" s="36"/>
      <c r="F52" s="82" t="s">
        <v>114</v>
      </c>
      <c r="G52" s="36"/>
      <c r="H52" s="36"/>
      <c r="I52" s="36"/>
      <c r="J52" s="36"/>
      <c r="K52" s="36"/>
      <c r="L52" s="36"/>
      <c r="M52" s="36"/>
      <c r="N52" s="41" t="s">
        <v>115</v>
      </c>
      <c r="O52" s="36"/>
      <c r="P52" s="591">
        <f>VLOOKUP($J$51,$AC$57:$AE$60,2,FALSE)</f>
        <v>94</v>
      </c>
      <c r="Q52" s="592"/>
      <c r="R52" s="592"/>
      <c r="S52" s="592"/>
      <c r="T52" s="592"/>
      <c r="U52" s="36" t="s">
        <v>290</v>
      </c>
      <c r="V52" s="36"/>
      <c r="W52" s="36"/>
      <c r="X52" s="36"/>
      <c r="Y52" s="36"/>
      <c r="Z52" s="36"/>
      <c r="AA52" s="36"/>
      <c r="AB52" s="80"/>
      <c r="AC52" s="177" t="s">
        <v>205</v>
      </c>
      <c r="AD52" s="178">
        <v>4</v>
      </c>
      <c r="AE52" s="179">
        <v>0.0987</v>
      </c>
      <c r="AF52" s="185">
        <v>12.56</v>
      </c>
      <c r="AG52" s="181">
        <v>3270</v>
      </c>
      <c r="AH52" s="182" t="s">
        <v>286</v>
      </c>
      <c r="AI52" s="183">
        <v>7410</v>
      </c>
      <c r="AJ52" s="184"/>
      <c r="AK52" s="184"/>
      <c r="AL52" s="173"/>
      <c r="AM52" s="80"/>
      <c r="AN52" s="80"/>
      <c r="AO52" s="80"/>
      <c r="AP52" s="80"/>
      <c r="AQ52" s="80"/>
      <c r="AR52" s="80"/>
      <c r="AS52" s="25"/>
    </row>
    <row r="53" spans="1:45" ht="18" customHeight="1">
      <c r="A53" s="18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25"/>
    </row>
    <row r="54" spans="1:45" ht="18" customHeight="1">
      <c r="A54" s="186"/>
      <c r="B54" s="36"/>
      <c r="C54" s="36" t="s">
        <v>809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80"/>
      <c r="AC54" s="81" t="s">
        <v>288</v>
      </c>
      <c r="AD54" s="573" t="s">
        <v>53</v>
      </c>
      <c r="AE54" s="573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25"/>
    </row>
    <row r="55" spans="1:45" ht="18" customHeight="1">
      <c r="A55" s="186"/>
      <c r="B55" s="36"/>
      <c r="AA55" s="36"/>
      <c r="AB55" s="80"/>
      <c r="AC55" s="84" t="s">
        <v>143</v>
      </c>
      <c r="AD55" s="571" t="s">
        <v>45</v>
      </c>
      <c r="AE55" s="572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25"/>
    </row>
    <row r="56" spans="1:45" ht="18" customHeight="1">
      <c r="A56" s="186"/>
      <c r="B56" s="36"/>
      <c r="F56" s="537" t="s">
        <v>811</v>
      </c>
      <c r="S56" s="1" t="s">
        <v>815</v>
      </c>
      <c r="AA56" s="36"/>
      <c r="AB56" s="80"/>
      <c r="AC56" s="88" t="s">
        <v>144</v>
      </c>
      <c r="AD56" s="569" t="s">
        <v>290</v>
      </c>
      <c r="AE56" s="57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25"/>
    </row>
    <row r="57" spans="1:45" ht="18" customHeight="1">
      <c r="A57" s="80"/>
      <c r="B57" s="36"/>
      <c r="F57" s="537"/>
      <c r="I57" s="552" t="s">
        <v>812</v>
      </c>
      <c r="J57" s="552"/>
      <c r="K57" s="552"/>
      <c r="Q57" s="574">
        <v>500</v>
      </c>
      <c r="T57" s="1" t="s">
        <v>816</v>
      </c>
      <c r="AA57" s="36"/>
      <c r="AB57" s="80"/>
      <c r="AC57" s="177" t="s">
        <v>292</v>
      </c>
      <c r="AD57" s="561">
        <v>94</v>
      </c>
      <c r="AE57" s="562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25"/>
    </row>
    <row r="58" spans="1:45" ht="18" customHeight="1">
      <c r="A58" s="80"/>
      <c r="B58" s="186"/>
      <c r="C58" s="186"/>
      <c r="D58" s="186"/>
      <c r="E58" s="186"/>
      <c r="F58" s="537"/>
      <c r="G58" s="186"/>
      <c r="H58" s="186"/>
      <c r="I58" s="186"/>
      <c r="J58" s="186"/>
      <c r="K58" s="186"/>
      <c r="L58" s="186"/>
      <c r="M58" s="186"/>
      <c r="N58" s="186" t="s">
        <v>814</v>
      </c>
      <c r="O58" s="186"/>
      <c r="P58" s="186"/>
      <c r="Q58" s="574"/>
      <c r="R58" s="186"/>
      <c r="S58" s="186"/>
      <c r="T58" s="186" t="s">
        <v>817</v>
      </c>
      <c r="U58" s="186"/>
      <c r="V58" s="186"/>
      <c r="W58" s="186"/>
      <c r="X58" s="186"/>
      <c r="Y58" s="186"/>
      <c r="Z58" s="186"/>
      <c r="AA58" s="186"/>
      <c r="AB58" s="80"/>
      <c r="AC58" s="177" t="s">
        <v>295</v>
      </c>
      <c r="AD58" s="561"/>
      <c r="AE58" s="562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25"/>
    </row>
    <row r="59" spans="1:45" ht="18" customHeight="1">
      <c r="A59" s="80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538">
        <v>70</v>
      </c>
      <c r="P59" s="186"/>
      <c r="Q59" s="574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80"/>
      <c r="AC59" s="177" t="s">
        <v>295</v>
      </c>
      <c r="AD59" s="561"/>
      <c r="AE59" s="562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25"/>
    </row>
    <row r="60" spans="1:45" ht="18" customHeight="1">
      <c r="A60" s="80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538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80"/>
      <c r="AC60" s="177" t="s">
        <v>295</v>
      </c>
      <c r="AD60" s="561"/>
      <c r="AE60" s="562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25"/>
    </row>
    <row r="61" spans="1:45" ht="18" customHeight="1">
      <c r="A61" s="80"/>
      <c r="B61" s="186"/>
      <c r="C61" s="186"/>
      <c r="D61" s="186"/>
      <c r="E61" s="186"/>
      <c r="F61" s="186"/>
      <c r="G61" s="186"/>
      <c r="H61" s="186"/>
      <c r="I61" s="551" t="s">
        <v>810</v>
      </c>
      <c r="J61" s="551"/>
      <c r="K61" s="551"/>
      <c r="L61" s="186"/>
      <c r="M61" s="322">
        <v>50</v>
      </c>
      <c r="N61" s="186"/>
      <c r="O61" s="538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25"/>
    </row>
    <row r="62" spans="1:45" ht="18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25"/>
    </row>
    <row r="63" spans="1:45" ht="18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1:45" ht="18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2:45" ht="18" customHeight="1">
      <c r="B65" s="25"/>
      <c r="C65" s="25"/>
      <c r="D65" s="25"/>
      <c r="E65" s="25"/>
      <c r="F65" s="25"/>
      <c r="G65" s="25"/>
      <c r="H65" s="25"/>
      <c r="I65" s="25"/>
      <c r="J65" s="25"/>
      <c r="K65" s="25" t="s">
        <v>813</v>
      </c>
      <c r="L65" s="25"/>
      <c r="M65" s="490" t="str">
        <f>'吊り用チン'!L14</f>
        <v>SR235</v>
      </c>
      <c r="N65" s="490"/>
      <c r="O65" s="25"/>
      <c r="P65" s="25"/>
      <c r="Q65" s="25"/>
      <c r="R65" s="25"/>
      <c r="S65" s="25"/>
      <c r="T65" s="25"/>
      <c r="U65" s="25"/>
      <c r="V65" s="25"/>
      <c r="W65" s="25"/>
      <c r="X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</row>
    <row r="66" spans="11:45" ht="18" customHeight="1">
      <c r="K66" s="1" t="s">
        <v>64</v>
      </c>
      <c r="M66" s="491" t="str">
        <f>'吊り用チン'!L15</f>
        <v>D16</v>
      </c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67" spans="28:45" ht="18" customHeight="1"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</row>
    <row r="68" spans="11:45" ht="18" customHeight="1">
      <c r="K68" s="36" t="s">
        <v>829</v>
      </c>
      <c r="L68" s="36"/>
      <c r="M68" s="36"/>
      <c r="N68" s="36"/>
      <c r="O68" s="41" t="s">
        <v>830</v>
      </c>
      <c r="P68" s="41"/>
      <c r="Q68" s="586">
        <f>'吊り用チン'!AL15</f>
        <v>46000</v>
      </c>
      <c r="R68" s="586"/>
      <c r="S68" s="586"/>
      <c r="T68" s="36" t="s">
        <v>831</v>
      </c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  <row r="69" spans="28:45" ht="18" customHeight="1"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</row>
    <row r="70" spans="28:45" ht="18" customHeight="1"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</row>
    <row r="71" spans="28:45" ht="18" customHeight="1"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</row>
    <row r="72" spans="28:45" ht="18" customHeight="1"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</row>
    <row r="73" spans="3:45" ht="18" customHeight="1">
      <c r="C73" s="36" t="s">
        <v>134</v>
      </c>
      <c r="D73" s="36"/>
      <c r="E73" s="36"/>
      <c r="F73" s="36"/>
      <c r="G73" s="36" t="s">
        <v>149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</row>
    <row r="74" spans="3:26" ht="18" customHeight="1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 t="s">
        <v>148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3:26" ht="18" customHeight="1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 sheet="1" objects="1" scenarios="1"/>
  <mergeCells count="86">
    <mergeCell ref="I61:K61"/>
    <mergeCell ref="F56:F58"/>
    <mergeCell ref="O59:O61"/>
    <mergeCell ref="P23:T23"/>
    <mergeCell ref="I45:K45"/>
    <mergeCell ref="O49:Q49"/>
    <mergeCell ref="S49:U49"/>
    <mergeCell ref="M26:N26"/>
    <mergeCell ref="P26:T26"/>
    <mergeCell ref="M27:N27"/>
    <mergeCell ref="U3:V3"/>
    <mergeCell ref="P39:T39"/>
    <mergeCell ref="P42:T42"/>
    <mergeCell ref="P43:T43"/>
    <mergeCell ref="P37:T37"/>
    <mergeCell ref="P38:T38"/>
    <mergeCell ref="P14:T14"/>
    <mergeCell ref="P15:T15"/>
    <mergeCell ref="P24:T24"/>
    <mergeCell ref="P13:T13"/>
    <mergeCell ref="AC3:AC4"/>
    <mergeCell ref="P18:T18"/>
    <mergeCell ref="P19:T19"/>
    <mergeCell ref="L22:R22"/>
    <mergeCell ref="M7:N7"/>
    <mergeCell ref="M8:N8"/>
    <mergeCell ref="M13:N13"/>
    <mergeCell ref="P7:T7"/>
    <mergeCell ref="P8:T8"/>
    <mergeCell ref="L12:R12"/>
    <mergeCell ref="AJ3:AJ4"/>
    <mergeCell ref="AD3:AD4"/>
    <mergeCell ref="AE3:AE4"/>
    <mergeCell ref="AF3:AF4"/>
    <mergeCell ref="AG3:AG4"/>
    <mergeCell ref="AH3:AH4"/>
    <mergeCell ref="AI3:AI4"/>
    <mergeCell ref="AD57:AE57"/>
    <mergeCell ref="J51:K51"/>
    <mergeCell ref="AD55:AE55"/>
    <mergeCell ref="AD54:AE54"/>
    <mergeCell ref="Q57:Q59"/>
    <mergeCell ref="I57:K57"/>
    <mergeCell ref="AD59:AE59"/>
    <mergeCell ref="AD60:AE60"/>
    <mergeCell ref="AG30:AH30"/>
    <mergeCell ref="AG31:AH31"/>
    <mergeCell ref="AE32:AF32"/>
    <mergeCell ref="AG32:AH32"/>
    <mergeCell ref="AE33:AF33"/>
    <mergeCell ref="AG33:AH33"/>
    <mergeCell ref="AE31:AF31"/>
    <mergeCell ref="AD56:AE56"/>
    <mergeCell ref="AD58:AE58"/>
    <mergeCell ref="M14:N14"/>
    <mergeCell ref="M15:N15"/>
    <mergeCell ref="M16:N16"/>
    <mergeCell ref="M17:N17"/>
    <mergeCell ref="M19:N19"/>
    <mergeCell ref="AE30:AF30"/>
    <mergeCell ref="P16:T16"/>
    <mergeCell ref="P17:T17"/>
    <mergeCell ref="AC30:AC31"/>
    <mergeCell ref="M18:N18"/>
    <mergeCell ref="M23:N23"/>
    <mergeCell ref="M24:N24"/>
    <mergeCell ref="M25:N25"/>
    <mergeCell ref="P25:T25"/>
    <mergeCell ref="H3:L3"/>
    <mergeCell ref="P4:T4"/>
    <mergeCell ref="P5:T5"/>
    <mergeCell ref="P6:T6"/>
    <mergeCell ref="M5:N5"/>
    <mergeCell ref="M6:N6"/>
    <mergeCell ref="M4:N4"/>
    <mergeCell ref="P3:R3"/>
    <mergeCell ref="P27:T27"/>
    <mergeCell ref="Q68:S68"/>
    <mergeCell ref="M28:N28"/>
    <mergeCell ref="P28:T28"/>
    <mergeCell ref="M29:N29"/>
    <mergeCell ref="P29:T29"/>
    <mergeCell ref="P48:T48"/>
    <mergeCell ref="P52:T52"/>
    <mergeCell ref="P46:T46"/>
    <mergeCell ref="P47:T47"/>
  </mergeCells>
  <dataValidations count="4">
    <dataValidation type="list" allowBlank="1" showInputMessage="1" showErrorMessage="1" sqref="H3:L3">
      <formula1>$AC$18:$AC$22</formula1>
    </dataValidation>
    <dataValidation type="list" allowBlank="1" showInputMessage="1" showErrorMessage="1" sqref="L12:R12 L22:R22">
      <formula1>$AC$6:$AC$12</formula1>
    </dataValidation>
    <dataValidation type="list" allowBlank="1" showInputMessage="1" showErrorMessage="1" sqref="I45:K45">
      <formula1>$AC$51:$AC$52</formula1>
    </dataValidation>
    <dataValidation type="list" allowBlank="1" showInputMessage="1" showErrorMessage="1" sqref="J51:K51">
      <formula1>$AC$57:$AC$60</formula1>
    </dataValidation>
  </dataValidations>
  <printOptions/>
  <pageMargins left="0.7874015748031497" right="0.3937007874015748" top="0.78" bottom="0.77" header="0.43" footer="0.11811023622047245"/>
  <pageSetup horizontalDpi="300" verticalDpi="300" orientation="portrait" paperSize="9" r:id="rId2"/>
  <headerFooter alignWithMargins="0">
    <oddFooter>&amp;L&amp;6&amp;F3</oddFooter>
  </headerFooter>
  <rowBreaks count="1" manualBreakCount="1">
    <brk id="44" max="2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3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1" width="3.09765625" style="1" customWidth="1"/>
    <col min="32" max="32" width="5.59765625" style="1" customWidth="1"/>
    <col min="33" max="34" width="8.59765625" style="1" customWidth="1"/>
    <col min="35" max="35" width="10.59765625" style="1" customWidth="1"/>
    <col min="36" max="39" width="8.59765625" style="1" customWidth="1"/>
    <col min="40" max="41" width="10.59765625" style="1" customWidth="1"/>
    <col min="42" max="16384" width="6.69921875" style="1" customWidth="1"/>
  </cols>
  <sheetData>
    <row r="1" ht="24" customHeight="1">
      <c r="B1" s="485" t="s">
        <v>808</v>
      </c>
    </row>
    <row r="2" spans="1:33" ht="18" customHeight="1">
      <c r="A2" s="186"/>
      <c r="B2" s="482" t="s">
        <v>797</v>
      </c>
      <c r="C2" s="80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36"/>
      <c r="AD2" s="80"/>
      <c r="AE2" s="80"/>
      <c r="AF2" s="80"/>
      <c r="AG2" s="17"/>
    </row>
    <row r="3" spans="1:33" ht="18" customHeight="1">
      <c r="A3" s="474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7"/>
      <c r="AD3" s="80"/>
      <c r="AE3" s="80"/>
      <c r="AF3" s="80"/>
      <c r="AG3" s="17"/>
    </row>
    <row r="4" spans="1:33" ht="18" customHeight="1">
      <c r="A4" s="475"/>
      <c r="B4" s="475"/>
      <c r="C4" s="475"/>
      <c r="D4" s="476"/>
      <c r="E4" s="476"/>
      <c r="F4" s="476"/>
      <c r="G4" s="475"/>
      <c r="H4" s="475"/>
      <c r="I4" s="475"/>
      <c r="J4" s="475"/>
      <c r="K4" s="475"/>
      <c r="L4" s="476"/>
      <c r="M4" s="476"/>
      <c r="N4" s="476"/>
      <c r="O4" s="476"/>
      <c r="P4" s="476"/>
      <c r="Q4" s="476"/>
      <c r="R4" s="476"/>
      <c r="S4" s="476"/>
      <c r="T4" s="475"/>
      <c r="U4" s="475"/>
      <c r="V4" s="475"/>
      <c r="W4" s="475"/>
      <c r="X4" s="476"/>
      <c r="Y4" s="476"/>
      <c r="Z4" s="476"/>
      <c r="AA4" s="475"/>
      <c r="AB4" s="475"/>
      <c r="AC4" s="475"/>
      <c r="AD4" s="80"/>
      <c r="AE4" s="468"/>
      <c r="AF4" s="469"/>
      <c r="AG4" s="17"/>
    </row>
    <row r="5" spans="1:33" ht="18" customHeight="1">
      <c r="A5" s="475"/>
      <c r="B5" s="475"/>
      <c r="C5" s="475"/>
      <c r="D5" s="475"/>
      <c r="E5" s="475"/>
      <c r="F5" s="476"/>
      <c r="G5" s="476"/>
      <c r="H5" s="476"/>
      <c r="I5" s="475"/>
      <c r="J5" s="475"/>
      <c r="K5" s="475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5"/>
      <c r="X5" s="475"/>
      <c r="Y5" s="475"/>
      <c r="Z5" s="475"/>
      <c r="AA5" s="388"/>
      <c r="AB5" s="388"/>
      <c r="AC5" s="475"/>
      <c r="AD5" s="80"/>
      <c r="AE5" s="469"/>
      <c r="AF5" s="80"/>
      <c r="AG5" s="17"/>
    </row>
    <row r="6" spans="1:33" ht="18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388"/>
      <c r="AB6" s="388"/>
      <c r="AC6" s="188"/>
      <c r="AD6" s="80"/>
      <c r="AE6" s="80"/>
      <c r="AF6" s="80"/>
      <c r="AG6" s="17"/>
    </row>
    <row r="7" spans="1:33" ht="18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477"/>
      <c r="AB7" s="388"/>
      <c r="AC7" s="188"/>
      <c r="AD7" s="80"/>
      <c r="AE7" s="80"/>
      <c r="AF7" s="80"/>
      <c r="AG7" s="17"/>
    </row>
    <row r="8" spans="1:33" ht="18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477"/>
      <c r="AB8" s="388"/>
      <c r="AC8" s="188"/>
      <c r="AD8" s="80"/>
      <c r="AE8" s="80"/>
      <c r="AF8" s="80"/>
      <c r="AG8" s="17"/>
    </row>
    <row r="9" spans="1:33" ht="18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9" t="s">
        <v>70</v>
      </c>
      <c r="S9" s="189"/>
      <c r="T9" s="189"/>
      <c r="U9" s="189"/>
      <c r="V9" s="188"/>
      <c r="W9" s="188"/>
      <c r="X9" s="188"/>
      <c r="Y9" s="188"/>
      <c r="Z9" s="188"/>
      <c r="AA9" s="477"/>
      <c r="AB9" s="477"/>
      <c r="AC9" s="188"/>
      <c r="AD9" s="80"/>
      <c r="AE9" s="80"/>
      <c r="AF9" s="80"/>
      <c r="AG9" s="17"/>
    </row>
    <row r="10" spans="1:33" ht="18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90"/>
      <c r="S10" s="542"/>
      <c r="T10" s="543"/>
      <c r="U10" s="478"/>
      <c r="V10" s="188"/>
      <c r="W10" s="188"/>
      <c r="X10" s="188"/>
      <c r="Y10" s="188"/>
      <c r="Z10" s="188"/>
      <c r="AA10" s="477"/>
      <c r="AB10" s="477"/>
      <c r="AC10" s="188"/>
      <c r="AD10" s="80"/>
      <c r="AE10" s="80"/>
      <c r="AF10" s="80"/>
      <c r="AG10" s="17"/>
    </row>
    <row r="11" spans="1:33" ht="18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9" t="s">
        <v>34</v>
      </c>
      <c r="K11" s="189"/>
      <c r="L11" s="474"/>
      <c r="M11" s="474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477"/>
      <c r="AB11" s="388"/>
      <c r="AC11" s="188"/>
      <c r="AD11" s="80"/>
      <c r="AE11" s="80"/>
      <c r="AF11" s="80"/>
      <c r="AG11" s="17"/>
    </row>
    <row r="12" spans="1:33" ht="18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477"/>
      <c r="AB12" s="388"/>
      <c r="AC12" s="188"/>
      <c r="AD12" s="80"/>
      <c r="AE12" s="80"/>
      <c r="AF12" s="80"/>
      <c r="AG12" s="17"/>
    </row>
    <row r="13" spans="1:33" ht="18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477"/>
      <c r="AB13" s="388"/>
      <c r="AC13" s="188"/>
      <c r="AD13" s="80"/>
      <c r="AE13" s="80"/>
      <c r="AF13" s="80"/>
      <c r="AG13" s="17"/>
    </row>
    <row r="14" spans="1:33" ht="18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479"/>
      <c r="AB14" s="188"/>
      <c r="AC14" s="188"/>
      <c r="AD14" s="80"/>
      <c r="AE14" s="80"/>
      <c r="AF14" s="80"/>
      <c r="AG14" s="17"/>
    </row>
    <row r="15" spans="1:33" ht="18" customHeight="1">
      <c r="A15" s="188"/>
      <c r="B15" s="188"/>
      <c r="C15" s="189" t="s">
        <v>207</v>
      </c>
      <c r="D15" s="189"/>
      <c r="E15" s="189"/>
      <c r="F15" s="191" t="str">
        <f>$J$21</f>
        <v>□75×3.2(STKR400)</v>
      </c>
      <c r="G15" s="189"/>
      <c r="H15" s="189"/>
      <c r="I15" s="189"/>
      <c r="J15" s="192"/>
      <c r="K15" s="192"/>
      <c r="L15" s="188"/>
      <c r="M15" s="188"/>
      <c r="N15" s="188"/>
      <c r="O15" s="188"/>
      <c r="P15" s="188"/>
      <c r="Q15" s="188"/>
      <c r="R15" s="188"/>
      <c r="S15" s="189" t="s">
        <v>300</v>
      </c>
      <c r="T15" s="189"/>
      <c r="U15" s="193" t="str">
        <f>$J$23</f>
        <v>□100×3.2(STKR400)</v>
      </c>
      <c r="V15" s="189"/>
      <c r="W15" s="189"/>
      <c r="X15" s="189"/>
      <c r="Y15" s="189"/>
      <c r="Z15" s="189"/>
      <c r="AA15" s="188"/>
      <c r="AB15" s="188"/>
      <c r="AC15" s="188"/>
      <c r="AD15" s="80"/>
      <c r="AE15" s="80"/>
      <c r="AF15" s="80"/>
      <c r="AG15" s="17"/>
    </row>
    <row r="16" spans="1:33" ht="18" customHeight="1">
      <c r="A16" s="188"/>
      <c r="B16" s="188"/>
      <c r="C16" s="188"/>
      <c r="D16" s="188"/>
      <c r="E16" s="188"/>
      <c r="F16" s="194" t="s">
        <v>206</v>
      </c>
      <c r="G16" s="508">
        <f>M56</f>
        <v>800</v>
      </c>
      <c r="H16" s="50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94" t="s">
        <v>206</v>
      </c>
      <c r="W16" s="526">
        <f>ころばし!M9</f>
        <v>1800</v>
      </c>
      <c r="X16" s="526"/>
      <c r="Y16" s="188"/>
      <c r="Z16" s="188"/>
      <c r="AA16" s="188"/>
      <c r="AB16" s="188"/>
      <c r="AC16" s="188"/>
      <c r="AD16" s="80"/>
      <c r="AE16" s="80"/>
      <c r="AF16" s="80"/>
      <c r="AG16" s="17"/>
    </row>
    <row r="17" spans="1:33" ht="18" customHeight="1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80"/>
      <c r="AE17" s="80"/>
      <c r="AF17" s="80"/>
      <c r="AG17" s="17"/>
    </row>
    <row r="18" spans="1:33" ht="18" customHeight="1">
      <c r="A18" s="80"/>
      <c r="B18" s="482" t="s">
        <v>798</v>
      </c>
      <c r="C18" s="8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36"/>
      <c r="AD18" s="80"/>
      <c r="AE18" s="80"/>
      <c r="AF18" s="80"/>
      <c r="AG18" s="17"/>
    </row>
    <row r="19" spans="1:33" ht="18" customHeight="1">
      <c r="A19" s="80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36"/>
      <c r="AD19" s="80"/>
      <c r="AE19" s="80"/>
      <c r="AF19" s="80"/>
      <c r="AG19" s="17"/>
    </row>
    <row r="20" spans="1:33" ht="18" customHeight="1">
      <c r="A20" s="80"/>
      <c r="B20" s="36"/>
      <c r="C20" s="36" t="s">
        <v>301</v>
      </c>
      <c r="D20" s="36"/>
      <c r="E20" s="36"/>
      <c r="AD20" s="80"/>
      <c r="AE20" s="80"/>
      <c r="AF20" s="80"/>
      <c r="AG20" s="17"/>
    </row>
    <row r="21" spans="1:33" ht="18" customHeight="1">
      <c r="A21" s="79"/>
      <c r="B21" s="79"/>
      <c r="C21" s="79"/>
      <c r="D21" s="79"/>
      <c r="E21" s="79"/>
      <c r="F21" s="36" t="s">
        <v>207</v>
      </c>
      <c r="G21" s="36"/>
      <c r="H21" s="36"/>
      <c r="I21" s="41"/>
      <c r="J21" s="532" t="str">
        <f>'使用材一覧'!$L$12</f>
        <v>□75×3.2(STKR400)</v>
      </c>
      <c r="K21" s="533"/>
      <c r="L21" s="533"/>
      <c r="M21" s="533"/>
      <c r="N21" s="533"/>
      <c r="O21" s="533"/>
      <c r="P21" s="533"/>
      <c r="Q21" s="195"/>
      <c r="R21" s="527">
        <f>'使用材一覧'!$P$13</f>
        <v>69</v>
      </c>
      <c r="S21" s="527"/>
      <c r="T21" s="533"/>
      <c r="U21" s="540" t="s">
        <v>76</v>
      </c>
      <c r="V21" s="540"/>
      <c r="W21" s="80"/>
      <c r="X21" s="80"/>
      <c r="Y21" s="80"/>
      <c r="Z21" s="80"/>
      <c r="AA21" s="80"/>
      <c r="AB21" s="80"/>
      <c r="AC21" s="36"/>
      <c r="AD21" s="80"/>
      <c r="AE21" s="80"/>
      <c r="AF21" s="80"/>
      <c r="AG21" s="17"/>
    </row>
    <row r="22" spans="1:33" ht="18" customHeight="1">
      <c r="A22" s="80"/>
      <c r="B22" s="36"/>
      <c r="AD22" s="80"/>
      <c r="AE22" s="80"/>
      <c r="AF22" s="80"/>
      <c r="AG22" s="17"/>
    </row>
    <row r="23" spans="1:41" ht="18" customHeight="1">
      <c r="A23" s="80"/>
      <c r="B23" s="36"/>
      <c r="F23" s="79" t="s">
        <v>300</v>
      </c>
      <c r="G23" s="79"/>
      <c r="H23" s="79"/>
      <c r="I23" s="79"/>
      <c r="J23" s="532" t="str">
        <f>'使用材一覧'!$L$22</f>
        <v>□100×3.2(STKR400)</v>
      </c>
      <c r="K23" s="533"/>
      <c r="L23" s="533"/>
      <c r="M23" s="533"/>
      <c r="N23" s="533"/>
      <c r="O23" s="533"/>
      <c r="P23" s="533"/>
      <c r="Q23" s="79"/>
      <c r="R23" s="527">
        <f>'使用材一覧'!$P$23</f>
        <v>93</v>
      </c>
      <c r="S23" s="527"/>
      <c r="T23" s="533"/>
      <c r="U23" s="540" t="s">
        <v>76</v>
      </c>
      <c r="V23" s="540"/>
      <c r="W23" s="79"/>
      <c r="X23" s="79"/>
      <c r="Y23" s="79"/>
      <c r="Z23" s="79"/>
      <c r="AA23" s="79"/>
      <c r="AB23" s="79"/>
      <c r="AC23" s="79"/>
      <c r="AD23" s="80"/>
      <c r="AE23" s="80"/>
      <c r="AF23" s="470" t="s">
        <v>765</v>
      </c>
      <c r="AG23" s="470"/>
      <c r="AH23" s="470"/>
      <c r="AI23" s="470"/>
      <c r="AJ23"/>
      <c r="AK23"/>
      <c r="AL23"/>
      <c r="AM23"/>
      <c r="AN23"/>
      <c r="AO23"/>
    </row>
    <row r="24" spans="1:41" ht="18" customHeight="1">
      <c r="A24" s="80"/>
      <c r="B24" s="36"/>
      <c r="C24" s="36"/>
      <c r="D24" s="36"/>
      <c r="E24" s="36"/>
      <c r="F24" s="36"/>
      <c r="G24" s="82"/>
      <c r="H24" s="36"/>
      <c r="I24" s="41"/>
      <c r="J24" s="41"/>
      <c r="K24" s="96"/>
      <c r="L24" s="41"/>
      <c r="M24" s="96"/>
      <c r="N24" s="36"/>
      <c r="O24" s="36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5"/>
      <c r="AD24" s="80"/>
      <c r="AE24" s="80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</row>
    <row r="25" spans="6:41" ht="18" customHeight="1">
      <c r="F25" s="36" t="s">
        <v>34</v>
      </c>
      <c r="G25" s="36"/>
      <c r="H25" s="36"/>
      <c r="I25" s="36"/>
      <c r="J25" s="532" t="str">
        <f>'使用材一覧'!$H$3</f>
        <v>合板足場板</v>
      </c>
      <c r="K25" s="585"/>
      <c r="L25" s="585"/>
      <c r="M25" s="585"/>
      <c r="N25" s="585"/>
      <c r="O25" s="585"/>
      <c r="P25" s="585"/>
      <c r="Q25" s="80"/>
      <c r="R25" s="527">
        <f>VLOOKUP($J$25,'使用材一覧'!$AC$18:$AO$22,7,FALSE)</f>
        <v>44</v>
      </c>
      <c r="S25" s="527"/>
      <c r="T25" s="533"/>
      <c r="U25" s="540" t="s">
        <v>76</v>
      </c>
      <c r="V25" s="540"/>
      <c r="W25" s="80"/>
      <c r="X25" s="592">
        <f>VLOOKUP($J$25,'使用材一覧'!$AC$18:$AO$22,8,FALSE)</f>
        <v>184</v>
      </c>
      <c r="Y25" s="592"/>
      <c r="Z25" s="540" t="s">
        <v>302</v>
      </c>
      <c r="AA25" s="540"/>
      <c r="AB25" s="80"/>
      <c r="AC25" s="36"/>
      <c r="AD25" s="80"/>
      <c r="AE25" s="80"/>
      <c r="AF25" s="471"/>
      <c r="AG25" s="514" t="s">
        <v>766</v>
      </c>
      <c r="AH25" s="493"/>
      <c r="AI25" s="496" t="s">
        <v>767</v>
      </c>
      <c r="AJ25" s="498" t="s">
        <v>768</v>
      </c>
      <c r="AK25" s="595" t="s">
        <v>769</v>
      </c>
      <c r="AL25" s="597" t="s">
        <v>770</v>
      </c>
      <c r="AM25" s="496" t="s">
        <v>771</v>
      </c>
      <c r="AN25" s="599" t="s">
        <v>772</v>
      </c>
      <c r="AO25" s="600"/>
    </row>
    <row r="26" spans="30:41" ht="18" customHeight="1">
      <c r="AD26" s="80"/>
      <c r="AE26" s="80"/>
      <c r="AF26" s="471"/>
      <c r="AG26" s="494"/>
      <c r="AH26" s="495"/>
      <c r="AI26" s="497"/>
      <c r="AJ26" s="499"/>
      <c r="AK26" s="596"/>
      <c r="AL26" s="598"/>
      <c r="AM26" s="497"/>
      <c r="AN26" s="601"/>
      <c r="AO26" s="602"/>
    </row>
    <row r="27" spans="3:41" ht="18" customHeight="1">
      <c r="C27" s="36"/>
      <c r="D27" s="36"/>
      <c r="E27" s="36"/>
      <c r="AD27" s="80"/>
      <c r="AE27" s="80"/>
      <c r="AF27" s="471"/>
      <c r="AG27" s="603" t="s">
        <v>773</v>
      </c>
      <c r="AH27" s="604"/>
      <c r="AI27" s="607" t="s">
        <v>774</v>
      </c>
      <c r="AJ27" s="609">
        <v>700</v>
      </c>
      <c r="AK27" s="611">
        <v>175</v>
      </c>
      <c r="AL27" s="613">
        <v>175</v>
      </c>
      <c r="AM27" s="615">
        <f>SUM($AJ$27:$AL$28)</f>
        <v>1050</v>
      </c>
      <c r="AN27" s="617" t="s">
        <v>775</v>
      </c>
      <c r="AO27" s="618"/>
    </row>
    <row r="28" spans="30:41" ht="18" customHeight="1">
      <c r="AD28" s="36"/>
      <c r="AE28" s="80"/>
      <c r="AF28" s="471"/>
      <c r="AG28" s="605"/>
      <c r="AH28" s="606"/>
      <c r="AI28" s="608"/>
      <c r="AJ28" s="610"/>
      <c r="AK28" s="612"/>
      <c r="AL28" s="614"/>
      <c r="AM28" s="616"/>
      <c r="AN28" s="619"/>
      <c r="AO28" s="620"/>
    </row>
    <row r="29" spans="3:41" ht="18" customHeight="1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80"/>
      <c r="Q29" s="80"/>
      <c r="U29" s="79"/>
      <c r="AD29" s="80"/>
      <c r="AE29" s="80"/>
      <c r="AF29" s="471"/>
      <c r="AG29" s="621" t="s">
        <v>776</v>
      </c>
      <c r="AH29" s="606"/>
      <c r="AI29" s="608" t="s">
        <v>777</v>
      </c>
      <c r="AJ29" s="622">
        <v>7000</v>
      </c>
      <c r="AK29" s="612">
        <v>1750</v>
      </c>
      <c r="AL29" s="614">
        <v>1750</v>
      </c>
      <c r="AM29" s="616">
        <f>SUM($AJ$29:$AL$30)</f>
        <v>10500</v>
      </c>
      <c r="AN29" s="623" t="s">
        <v>778</v>
      </c>
      <c r="AO29" s="620"/>
    </row>
    <row r="30" spans="30:41" ht="18" customHeight="1">
      <c r="AD30" s="80"/>
      <c r="AE30" s="80"/>
      <c r="AF30" s="471"/>
      <c r="AG30" s="605"/>
      <c r="AH30" s="606"/>
      <c r="AI30" s="608"/>
      <c r="AJ30" s="610"/>
      <c r="AK30" s="612"/>
      <c r="AL30" s="614"/>
      <c r="AM30" s="616"/>
      <c r="AN30" s="619"/>
      <c r="AO30" s="620"/>
    </row>
    <row r="31" spans="30:41" ht="18" customHeight="1">
      <c r="AD31" s="80"/>
      <c r="AE31" s="80"/>
      <c r="AF31" s="471"/>
      <c r="AG31" s="621" t="s">
        <v>779</v>
      </c>
      <c r="AH31" s="606"/>
      <c r="AI31" s="608" t="s">
        <v>780</v>
      </c>
      <c r="AJ31" s="622">
        <v>700</v>
      </c>
      <c r="AK31" s="612">
        <v>175</v>
      </c>
      <c r="AL31" s="614">
        <v>175</v>
      </c>
      <c r="AM31" s="616">
        <f>SUM($AJ$31:$AL$32)</f>
        <v>1050</v>
      </c>
      <c r="AN31" s="624" t="s">
        <v>781</v>
      </c>
      <c r="AO31" s="620"/>
    </row>
    <row r="32" spans="1:41" ht="18" customHeight="1">
      <c r="A32" s="80"/>
      <c r="B32" s="36"/>
      <c r="C32" s="36" t="s">
        <v>82</v>
      </c>
      <c r="D32" s="36"/>
      <c r="E32" s="36"/>
      <c r="F32" s="528" t="s">
        <v>792</v>
      </c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AD32" s="80"/>
      <c r="AE32" s="80"/>
      <c r="AF32" s="471"/>
      <c r="AG32" s="605"/>
      <c r="AH32" s="606"/>
      <c r="AI32" s="608"/>
      <c r="AJ32" s="610"/>
      <c r="AK32" s="612"/>
      <c r="AL32" s="614"/>
      <c r="AM32" s="616"/>
      <c r="AN32" s="619"/>
      <c r="AO32" s="620"/>
    </row>
    <row r="33" spans="1:41" ht="18" customHeight="1">
      <c r="A33" s="8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80"/>
      <c r="Q33" s="80"/>
      <c r="V33" s="527">
        <f>P42</f>
        <v>1860</v>
      </c>
      <c r="W33" s="527"/>
      <c r="X33" s="585"/>
      <c r="Y33" s="79" t="s">
        <v>786</v>
      </c>
      <c r="Z33" s="80"/>
      <c r="AA33" s="80"/>
      <c r="AB33" s="80"/>
      <c r="AC33" s="36"/>
      <c r="AD33" s="80"/>
      <c r="AE33" s="80"/>
      <c r="AF33" s="471"/>
      <c r="AG33" s="621" t="s">
        <v>782</v>
      </c>
      <c r="AH33" s="606"/>
      <c r="AI33" s="608" t="s">
        <v>783</v>
      </c>
      <c r="AJ33" s="634">
        <v>233</v>
      </c>
      <c r="AK33" s="636"/>
      <c r="AL33" s="625">
        <v>47</v>
      </c>
      <c r="AM33" s="627">
        <f>$AJ$33+$AL$33</f>
        <v>280</v>
      </c>
      <c r="AN33" s="624" t="s">
        <v>784</v>
      </c>
      <c r="AO33" s="620"/>
    </row>
    <row r="34" spans="1:41" ht="18" customHeight="1">
      <c r="A34" s="80"/>
      <c r="B34" s="36"/>
      <c r="C34" s="36"/>
      <c r="D34" s="36"/>
      <c r="E34" s="36"/>
      <c r="F34" s="36"/>
      <c r="G34" s="480"/>
      <c r="P34" s="480"/>
      <c r="Q34" s="480"/>
      <c r="Z34" s="80"/>
      <c r="AA34" s="80"/>
      <c r="AB34" s="80"/>
      <c r="AC34" s="85"/>
      <c r="AD34" s="80"/>
      <c r="AE34" s="80"/>
      <c r="AF34" s="471"/>
      <c r="AG34" s="631"/>
      <c r="AH34" s="632"/>
      <c r="AI34" s="633"/>
      <c r="AJ34" s="635"/>
      <c r="AK34" s="637"/>
      <c r="AL34" s="626"/>
      <c r="AM34" s="628"/>
      <c r="AN34" s="629"/>
      <c r="AO34" s="630"/>
    </row>
    <row r="35" spans="30:33" ht="18" customHeight="1">
      <c r="AD35" s="80"/>
      <c r="AE35" s="80"/>
      <c r="AF35" s="80"/>
      <c r="AG35" s="17"/>
    </row>
    <row r="36" spans="30:33" ht="18" customHeight="1">
      <c r="AD36" s="80"/>
      <c r="AE36" s="80"/>
      <c r="AF36" s="80"/>
      <c r="AG36" s="17"/>
    </row>
    <row r="37" spans="30:38" ht="18" customHeight="1">
      <c r="AD37" s="36"/>
      <c r="AE37" s="195"/>
      <c r="AF37" s="80"/>
      <c r="AG37" s="480">
        <v>1</v>
      </c>
      <c r="AH37" s="480">
        <v>2</v>
      </c>
      <c r="AI37" s="480">
        <v>3</v>
      </c>
      <c r="AJ37" s="480">
        <v>4</v>
      </c>
      <c r="AK37" s="480">
        <v>5</v>
      </c>
      <c r="AL37" s="480">
        <v>6</v>
      </c>
    </row>
    <row r="38" spans="8:38" ht="18" customHeight="1">
      <c r="H38" s="534" t="s">
        <v>787</v>
      </c>
      <c r="I38" s="534"/>
      <c r="J38" s="534"/>
      <c r="K38" s="534"/>
      <c r="L38" s="534"/>
      <c r="M38" s="534"/>
      <c r="N38" s="534"/>
      <c r="O38" s="534"/>
      <c r="P38" s="513">
        <f>VLOOKUP($F$32,AG38:AM40,2,FALSE)</f>
        <v>2</v>
      </c>
      <c r="Q38" s="513"/>
      <c r="R38" s="513"/>
      <c r="AD38" s="36"/>
      <c r="AE38" s="80"/>
      <c r="AF38" s="80"/>
      <c r="AG38" s="480" t="s">
        <v>785</v>
      </c>
      <c r="AH38" s="480">
        <v>1</v>
      </c>
      <c r="AI38" s="480">
        <v>700</v>
      </c>
      <c r="AJ38" s="480" t="s">
        <v>791</v>
      </c>
      <c r="AK38" s="480">
        <v>200</v>
      </c>
      <c r="AL38" s="480">
        <f>(AI38+AK38)*0.2</f>
        <v>180</v>
      </c>
    </row>
    <row r="39" spans="8:38" ht="18" customHeight="1">
      <c r="H39" s="534" t="s">
        <v>788</v>
      </c>
      <c r="I39" s="534"/>
      <c r="J39" s="534"/>
      <c r="K39" s="534"/>
      <c r="L39" s="534"/>
      <c r="M39" s="534"/>
      <c r="N39" s="534"/>
      <c r="O39" s="534"/>
      <c r="P39" s="535">
        <f>VLOOKUP($F$32,AG38:AM41,3,FALSE)</f>
        <v>1400</v>
      </c>
      <c r="Q39" s="535"/>
      <c r="R39" s="535"/>
      <c r="AD39" s="36"/>
      <c r="AE39" s="195"/>
      <c r="AF39" s="80"/>
      <c r="AG39" s="480" t="s">
        <v>792</v>
      </c>
      <c r="AH39" s="480">
        <v>2</v>
      </c>
      <c r="AI39" s="480">
        <v>1400</v>
      </c>
      <c r="AJ39" s="480" t="s">
        <v>793</v>
      </c>
      <c r="AK39" s="480">
        <v>150</v>
      </c>
      <c r="AL39" s="480">
        <f>(AI39+AK39)*0.2</f>
        <v>310</v>
      </c>
    </row>
    <row r="40" spans="8:33" ht="18" customHeight="1">
      <c r="H40" s="536" t="str">
        <f>VLOOKUP(F32,AG38:AM41,4,FALSE)</f>
        <v>小道具重さ</v>
      </c>
      <c r="I40" s="536"/>
      <c r="J40" s="536"/>
      <c r="K40" s="536"/>
      <c r="L40" s="536"/>
      <c r="M40" s="536"/>
      <c r="N40" s="536"/>
      <c r="O40" s="536"/>
      <c r="P40" s="535">
        <f>VLOOKUP($F$32,AG38:AM41,5,FALSE)</f>
        <v>150</v>
      </c>
      <c r="Q40" s="535"/>
      <c r="R40" s="535"/>
      <c r="AD40" s="36"/>
      <c r="AE40" s="195"/>
      <c r="AF40" s="80"/>
      <c r="AG40" s="17"/>
    </row>
    <row r="41" spans="8:33" ht="18" customHeight="1" thickBot="1">
      <c r="H41" s="523" t="s">
        <v>789</v>
      </c>
      <c r="I41" s="523"/>
      <c r="J41" s="523"/>
      <c r="K41" s="523"/>
      <c r="L41" s="523"/>
      <c r="M41" s="523"/>
      <c r="N41" s="523"/>
      <c r="O41" s="523"/>
      <c r="P41" s="524">
        <f>(P39+P40)*0.2</f>
        <v>310</v>
      </c>
      <c r="Q41" s="524"/>
      <c r="R41" s="524"/>
      <c r="AD41" s="36"/>
      <c r="AE41" s="195"/>
      <c r="AF41" s="80"/>
      <c r="AG41" s="17"/>
    </row>
    <row r="42" spans="8:33" ht="18" customHeight="1" thickTop="1">
      <c r="H42" s="529" t="s">
        <v>790</v>
      </c>
      <c r="I42" s="529"/>
      <c r="J42" s="529"/>
      <c r="K42" s="529"/>
      <c r="L42" s="529"/>
      <c r="M42" s="529"/>
      <c r="N42" s="529"/>
      <c r="O42" s="529"/>
      <c r="P42" s="530">
        <f>SUM(P39:R41)</f>
        <v>1860</v>
      </c>
      <c r="Q42" s="530"/>
      <c r="R42" s="530"/>
      <c r="AD42" s="80"/>
      <c r="AE42" s="80"/>
      <c r="AF42" s="80"/>
      <c r="AG42" s="17"/>
    </row>
    <row r="43" spans="30:33" ht="18" customHeight="1">
      <c r="AD43" s="80"/>
      <c r="AE43" s="80"/>
      <c r="AF43" s="80"/>
      <c r="AG43" s="17"/>
    </row>
    <row r="44" spans="30:33" ht="18" customHeight="1">
      <c r="AD44" s="80"/>
      <c r="AE44" s="80"/>
      <c r="AF44" s="80"/>
      <c r="AG44" s="17"/>
    </row>
    <row r="45" spans="30:33" ht="18" customHeight="1">
      <c r="AD45" s="195"/>
      <c r="AE45" s="80"/>
      <c r="AF45" s="80"/>
      <c r="AG45" s="17"/>
    </row>
    <row r="46" spans="30:33" ht="18" customHeight="1">
      <c r="AD46" s="195"/>
      <c r="AE46" s="80"/>
      <c r="AF46" s="80"/>
      <c r="AG46" s="17"/>
    </row>
    <row r="47" spans="30:33" ht="18" customHeight="1">
      <c r="AD47" s="195"/>
      <c r="AE47" s="80"/>
      <c r="AF47" s="80"/>
      <c r="AG47" s="17"/>
    </row>
    <row r="48" spans="30:33" ht="18" customHeight="1">
      <c r="AD48" s="195"/>
      <c r="AE48" s="195"/>
      <c r="AF48" s="80"/>
      <c r="AG48" s="17"/>
    </row>
    <row r="49" spans="1:33" ht="18" customHeight="1">
      <c r="A49" s="36"/>
      <c r="B49" s="481" t="s">
        <v>799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195"/>
      <c r="AE49" s="195"/>
      <c r="AF49" s="80"/>
      <c r="AG49" s="17"/>
    </row>
    <row r="50" spans="1:33" ht="18" customHeight="1">
      <c r="A50" s="36"/>
      <c r="B50" s="36"/>
      <c r="C50" s="196"/>
      <c r="D50" s="41"/>
      <c r="E50" s="36"/>
      <c r="F50" s="36"/>
      <c r="G50" s="36"/>
      <c r="H50" s="36"/>
      <c r="I50" s="36"/>
      <c r="J50" s="36"/>
      <c r="K50" s="36"/>
      <c r="L50" s="36"/>
      <c r="M50" s="41" t="s">
        <v>10</v>
      </c>
      <c r="N50" s="41"/>
      <c r="O50" s="36"/>
      <c r="P50" s="36"/>
      <c r="Q50" s="36"/>
      <c r="R50" s="36" t="s">
        <v>303</v>
      </c>
      <c r="S50" s="36"/>
      <c r="T50" s="36"/>
      <c r="U50" s="195"/>
      <c r="V50" s="36"/>
      <c r="W50" s="36"/>
      <c r="X50" s="36"/>
      <c r="Y50" s="36"/>
      <c r="Z50" s="36"/>
      <c r="AA50" s="36"/>
      <c r="AB50" s="80"/>
      <c r="AC50" s="80"/>
      <c r="AD50" s="195"/>
      <c r="AE50" s="195"/>
      <c r="AF50" s="80"/>
      <c r="AG50" s="17"/>
    </row>
    <row r="51" spans="1:33" ht="18" customHeight="1">
      <c r="A51" s="36"/>
      <c r="B51" s="36"/>
      <c r="C51" s="19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195"/>
      <c r="V51" s="36"/>
      <c r="W51" s="36"/>
      <c r="X51" s="36"/>
      <c r="Y51" s="36"/>
      <c r="Z51" s="36"/>
      <c r="AA51" s="36"/>
      <c r="AB51" s="80"/>
      <c r="AC51" s="80"/>
      <c r="AD51" s="195"/>
      <c r="AE51" s="195"/>
      <c r="AF51" s="80"/>
      <c r="AG51" s="17"/>
    </row>
    <row r="52" spans="1:33" ht="18" customHeight="1">
      <c r="A52" s="36"/>
      <c r="B52" s="36"/>
      <c r="C52" s="19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195"/>
      <c r="V52" s="36"/>
      <c r="W52" s="36"/>
      <c r="X52" s="36"/>
      <c r="Y52" s="36"/>
      <c r="Z52" s="36"/>
      <c r="AA52" s="36"/>
      <c r="AB52" s="80"/>
      <c r="AC52" s="80"/>
      <c r="AD52" s="195"/>
      <c r="AE52" s="195"/>
      <c r="AF52" s="80"/>
      <c r="AG52" s="17"/>
    </row>
    <row r="53" spans="1:33" ht="18" customHeight="1">
      <c r="A53" s="36"/>
      <c r="B53" s="36"/>
      <c r="C53" s="19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195"/>
      <c r="V53" s="36"/>
      <c r="W53" s="36"/>
      <c r="X53" s="36"/>
      <c r="Y53" s="36"/>
      <c r="Z53" s="36"/>
      <c r="AA53" s="36"/>
      <c r="AB53" s="80"/>
      <c r="AC53" s="80"/>
      <c r="AD53" s="195"/>
      <c r="AE53" s="195"/>
      <c r="AF53" s="80"/>
      <c r="AG53" s="17"/>
    </row>
    <row r="54" spans="1:33" ht="18" customHeight="1">
      <c r="A54" s="36"/>
      <c r="B54" s="36"/>
      <c r="C54" s="196"/>
      <c r="D54" s="36"/>
      <c r="E54" s="36"/>
      <c r="F54" s="36"/>
      <c r="G54" s="36"/>
      <c r="H54" s="36"/>
      <c r="I54" s="36"/>
      <c r="J54" s="36"/>
      <c r="K54" s="36"/>
      <c r="L54" s="36"/>
      <c r="M54" s="36" t="s">
        <v>34</v>
      </c>
      <c r="N54" s="36"/>
      <c r="O54" s="36"/>
      <c r="P54" s="36"/>
      <c r="Q54" s="36"/>
      <c r="R54" s="36"/>
      <c r="S54" s="36"/>
      <c r="T54" s="36"/>
      <c r="U54" s="195"/>
      <c r="V54" s="36"/>
      <c r="W54" s="36"/>
      <c r="X54" s="36"/>
      <c r="Y54" s="36"/>
      <c r="Z54" s="36"/>
      <c r="AA54" s="36"/>
      <c r="AB54" s="80"/>
      <c r="AC54" s="80"/>
      <c r="AD54" s="195"/>
      <c r="AE54" s="195"/>
      <c r="AF54" s="80"/>
      <c r="AG54" s="17"/>
    </row>
    <row r="55" spans="1:33" ht="18" customHeight="1">
      <c r="A55" s="36"/>
      <c r="B55" s="36"/>
      <c r="C55" s="196"/>
      <c r="D55" s="41"/>
      <c r="E55" s="36"/>
      <c r="F55" s="36" t="s">
        <v>207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80"/>
      <c r="U55" s="195"/>
      <c r="V55" s="36"/>
      <c r="W55" s="36"/>
      <c r="X55" s="36"/>
      <c r="Y55" s="36"/>
      <c r="Z55" s="36"/>
      <c r="AA55" s="36"/>
      <c r="AB55" s="80"/>
      <c r="AC55" s="80"/>
      <c r="AD55" s="195"/>
      <c r="AE55" s="195"/>
      <c r="AF55" s="80"/>
      <c r="AG55" s="17"/>
    </row>
    <row r="56" spans="1:33" ht="18" customHeight="1">
      <c r="A56" s="36"/>
      <c r="B56" s="36"/>
      <c r="C56" s="36"/>
      <c r="D56" s="41"/>
      <c r="E56" s="36"/>
      <c r="F56" s="36"/>
      <c r="G56" s="36"/>
      <c r="H56" s="36"/>
      <c r="I56" s="36"/>
      <c r="J56" s="36"/>
      <c r="K56" s="36"/>
      <c r="L56" s="36" t="s">
        <v>11</v>
      </c>
      <c r="M56" s="512">
        <v>800</v>
      </c>
      <c r="N56" s="512"/>
      <c r="O56" s="36" t="s">
        <v>94</v>
      </c>
      <c r="P56" s="36"/>
      <c r="Q56" s="36"/>
      <c r="R56" s="36"/>
      <c r="S56" s="36"/>
      <c r="T56" s="36"/>
      <c r="U56" s="195"/>
      <c r="V56" s="36"/>
      <c r="W56" s="36"/>
      <c r="X56" s="36"/>
      <c r="Y56" s="36"/>
      <c r="Z56" s="50"/>
      <c r="AA56" s="36"/>
      <c r="AB56" s="80"/>
      <c r="AC56" s="80"/>
      <c r="AD56" s="195"/>
      <c r="AE56" s="195"/>
      <c r="AF56" s="80"/>
      <c r="AG56" s="17"/>
    </row>
    <row r="57" spans="1:33" ht="18" customHeight="1">
      <c r="A57" s="36"/>
      <c r="B57" s="36"/>
      <c r="C57" s="36"/>
      <c r="D57" s="41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195"/>
      <c r="V57" s="36"/>
      <c r="W57" s="36"/>
      <c r="X57" s="36"/>
      <c r="Y57" s="36"/>
      <c r="Z57" s="50"/>
      <c r="AA57" s="36"/>
      <c r="AB57" s="80"/>
      <c r="AC57" s="80"/>
      <c r="AD57" s="195"/>
      <c r="AE57" s="195"/>
      <c r="AF57" s="80"/>
      <c r="AG57" s="17"/>
    </row>
    <row r="58" spans="1:33" ht="18" customHeight="1">
      <c r="A58" s="36"/>
      <c r="B58" s="36"/>
      <c r="C58" s="36"/>
      <c r="D58" s="36"/>
      <c r="E58" s="82"/>
      <c r="F58" s="36"/>
      <c r="G58" s="36"/>
      <c r="H58" s="36"/>
      <c r="I58" s="41"/>
      <c r="J58" s="36"/>
      <c r="K58" s="41"/>
      <c r="L58" s="36"/>
      <c r="M58" s="36"/>
      <c r="N58" s="156"/>
      <c r="O58" s="42"/>
      <c r="P58" s="36"/>
      <c r="Q58" s="36"/>
      <c r="R58" s="19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195"/>
      <c r="AE58" s="195"/>
      <c r="AF58" s="80"/>
      <c r="AG58" s="17"/>
    </row>
    <row r="59" spans="1:33" ht="18" customHeight="1">
      <c r="A59" s="36"/>
      <c r="B59" s="36"/>
      <c r="C59" s="36" t="s">
        <v>83</v>
      </c>
      <c r="D59" s="36"/>
      <c r="E59" s="36"/>
      <c r="F59" s="196"/>
      <c r="G59" s="36" t="s">
        <v>82</v>
      </c>
      <c r="H59" s="36"/>
      <c r="I59" s="36"/>
      <c r="J59" s="36"/>
      <c r="K59" s="36"/>
      <c r="L59" s="42" t="s">
        <v>517</v>
      </c>
      <c r="M59" s="42" t="s">
        <v>111</v>
      </c>
      <c r="N59" s="539">
        <f>$V$33</f>
        <v>1860</v>
      </c>
      <c r="O59" s="539"/>
      <c r="P59" s="585"/>
      <c r="Q59" s="36" t="s">
        <v>92</v>
      </c>
      <c r="R59" s="197"/>
      <c r="S59" s="197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195"/>
      <c r="AE59" s="195"/>
      <c r="AF59" s="80"/>
      <c r="AG59" s="17"/>
    </row>
    <row r="60" spans="1:33" ht="18" customHeight="1">
      <c r="A60" s="36"/>
      <c r="B60" s="36"/>
      <c r="C60" s="36" t="s">
        <v>84</v>
      </c>
      <c r="D60" s="196"/>
      <c r="E60" s="36"/>
      <c r="F60" s="36"/>
      <c r="G60" s="36" t="s">
        <v>34</v>
      </c>
      <c r="H60" s="36"/>
      <c r="I60" s="198"/>
      <c r="J60" s="199"/>
      <c r="K60" s="36"/>
      <c r="L60" s="200" t="s">
        <v>516</v>
      </c>
      <c r="M60" s="42" t="s">
        <v>111</v>
      </c>
      <c r="N60" s="539">
        <f>$R$25</f>
        <v>44</v>
      </c>
      <c r="O60" s="539"/>
      <c r="P60" s="585"/>
      <c r="Q60" s="540" t="s">
        <v>76</v>
      </c>
      <c r="R60" s="540"/>
      <c r="S60" s="197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195"/>
      <c r="AE60" s="195"/>
      <c r="AF60" s="80"/>
      <c r="AG60" s="17"/>
    </row>
    <row r="61" spans="1:33" ht="18" customHeight="1">
      <c r="A61" s="195"/>
      <c r="B61" s="195"/>
      <c r="C61" s="195"/>
      <c r="D61" s="195"/>
      <c r="E61" s="195"/>
      <c r="F61" s="195"/>
      <c r="G61" s="195"/>
      <c r="H61" s="195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195"/>
      <c r="AA61" s="195"/>
      <c r="AB61" s="195"/>
      <c r="AC61" s="195"/>
      <c r="AD61" s="195"/>
      <c r="AE61" s="195"/>
      <c r="AF61" s="80"/>
      <c r="AG61" s="17"/>
    </row>
    <row r="62" spans="1:33" ht="18" customHeight="1">
      <c r="A62" s="36"/>
      <c r="B62" s="36"/>
      <c r="C62" s="36"/>
      <c r="D62" s="36" t="s">
        <v>304</v>
      </c>
      <c r="E62" s="196"/>
      <c r="F62" s="196"/>
      <c r="G62" s="36"/>
      <c r="H62" s="36"/>
      <c r="I62" s="196"/>
      <c r="J62" s="36"/>
      <c r="K62" s="36"/>
      <c r="L62" s="36"/>
      <c r="M62" s="36"/>
      <c r="N62" s="156"/>
      <c r="O62" s="36"/>
      <c r="P62" s="156"/>
      <c r="Q62" s="36"/>
      <c r="R62" s="197"/>
      <c r="S62" s="197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195"/>
      <c r="AE62" s="195"/>
      <c r="AF62" s="80"/>
      <c r="AG62" s="17"/>
    </row>
    <row r="63" spans="1:33" ht="18" customHeight="1">
      <c r="A63" s="36"/>
      <c r="B63" s="36"/>
      <c r="C63" s="36"/>
      <c r="D63" s="36"/>
      <c r="E63" s="541" t="s">
        <v>518</v>
      </c>
      <c r="F63" s="541" t="s">
        <v>112</v>
      </c>
      <c r="G63" s="516" t="s">
        <v>522</v>
      </c>
      <c r="H63" s="516"/>
      <c r="I63" s="541" t="s">
        <v>12</v>
      </c>
      <c r="J63" s="516" t="s">
        <v>523</v>
      </c>
      <c r="K63" s="516"/>
      <c r="L63" s="36"/>
      <c r="M63" s="36"/>
      <c r="N63" s="36"/>
      <c r="O63" s="9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79"/>
      <c r="AB63" s="79"/>
      <c r="AC63" s="79"/>
      <c r="AD63" s="195"/>
      <c r="AE63" s="195"/>
      <c r="AF63" s="80"/>
      <c r="AG63" s="17"/>
    </row>
    <row r="64" spans="1:33" ht="18" customHeight="1">
      <c r="A64" s="36"/>
      <c r="B64" s="36"/>
      <c r="C64" s="36"/>
      <c r="D64" s="36"/>
      <c r="E64" s="541"/>
      <c r="F64" s="541"/>
      <c r="G64" s="541">
        <v>4</v>
      </c>
      <c r="H64" s="541"/>
      <c r="I64" s="541"/>
      <c r="J64" s="541">
        <v>8</v>
      </c>
      <c r="K64" s="541"/>
      <c r="L64" s="36"/>
      <c r="M64" s="36"/>
      <c r="N64" s="36"/>
      <c r="O64" s="9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79"/>
      <c r="AB64" s="79"/>
      <c r="AC64" s="79"/>
      <c r="AD64" s="195"/>
      <c r="AE64" s="195"/>
      <c r="AF64" s="80"/>
      <c r="AG64" s="17"/>
    </row>
    <row r="65" spans="1:33" ht="18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96"/>
      <c r="P65" s="36"/>
      <c r="Q65" s="36"/>
      <c r="R65" s="201"/>
      <c r="S65" s="36"/>
      <c r="T65" s="36"/>
      <c r="U65" s="36"/>
      <c r="V65" s="36"/>
      <c r="W65" s="36"/>
      <c r="X65" s="36"/>
      <c r="Y65" s="36"/>
      <c r="Z65" s="36"/>
      <c r="AA65" s="79"/>
      <c r="AB65" s="79"/>
      <c r="AC65" s="79"/>
      <c r="AD65" s="195"/>
      <c r="AE65" s="195"/>
      <c r="AF65" s="80"/>
      <c r="AG65" s="17"/>
    </row>
    <row r="66" spans="1:33" ht="18" customHeight="1">
      <c r="A66" s="36"/>
      <c r="B66" s="36"/>
      <c r="C66" s="36"/>
      <c r="D66" s="36"/>
      <c r="E66" s="36"/>
      <c r="F66" s="541" t="s">
        <v>111</v>
      </c>
      <c r="G66" s="525">
        <f>$N$59</f>
        <v>1860</v>
      </c>
      <c r="H66" s="516"/>
      <c r="I66" s="516"/>
      <c r="J66" s="40" t="s">
        <v>1</v>
      </c>
      <c r="K66" s="511">
        <f>$M$56/1000</f>
        <v>0.8</v>
      </c>
      <c r="L66" s="511"/>
      <c r="M66" s="541" t="s">
        <v>12</v>
      </c>
      <c r="N66" s="509">
        <f>$N$60</f>
        <v>44</v>
      </c>
      <c r="O66" s="509"/>
      <c r="P66" s="40" t="s">
        <v>1</v>
      </c>
      <c r="Q66" s="510">
        <f>$M$56/1000</f>
        <v>0.8</v>
      </c>
      <c r="R66" s="510"/>
      <c r="S66" s="202" t="s">
        <v>30</v>
      </c>
      <c r="T66" s="541" t="s">
        <v>111</v>
      </c>
      <c r="U66" s="507">
        <f>$G$66*$K$66/$J$67+$N$66*$Q$66^2/$P$67</f>
        <v>376</v>
      </c>
      <c r="V66" s="507"/>
      <c r="W66" s="541" t="s">
        <v>87</v>
      </c>
      <c r="X66" s="531"/>
      <c r="Y66" s="36"/>
      <c r="Z66" s="79"/>
      <c r="AA66" s="79"/>
      <c r="AB66" s="79"/>
      <c r="AC66" s="80"/>
      <c r="AD66" s="195"/>
      <c r="AE66" s="195"/>
      <c r="AF66" s="80"/>
      <c r="AG66" s="17"/>
    </row>
    <row r="67" spans="1:33" ht="18" customHeight="1">
      <c r="A67" s="36"/>
      <c r="B67" s="36"/>
      <c r="C67" s="36"/>
      <c r="D67" s="36"/>
      <c r="E67" s="79"/>
      <c r="F67" s="541"/>
      <c r="G67" s="203"/>
      <c r="H67" s="204"/>
      <c r="I67" s="204"/>
      <c r="J67" s="42">
        <v>4</v>
      </c>
      <c r="K67" s="36"/>
      <c r="L67" s="36"/>
      <c r="M67" s="541"/>
      <c r="N67" s="36"/>
      <c r="O67" s="36"/>
      <c r="P67" s="42">
        <v>8</v>
      </c>
      <c r="Q67" s="36"/>
      <c r="R67" s="36"/>
      <c r="S67" s="41"/>
      <c r="T67" s="541"/>
      <c r="U67" s="507"/>
      <c r="V67" s="507"/>
      <c r="W67" s="531"/>
      <c r="X67" s="531"/>
      <c r="Y67" s="36"/>
      <c r="Z67" s="79"/>
      <c r="AA67" s="79"/>
      <c r="AB67" s="79"/>
      <c r="AC67" s="80"/>
      <c r="AD67" s="195"/>
      <c r="AE67" s="195"/>
      <c r="AF67" s="80"/>
      <c r="AG67" s="17"/>
    </row>
    <row r="68" spans="1:32" ht="18" customHeight="1">
      <c r="A68" s="36"/>
      <c r="B68" s="36"/>
      <c r="C68" s="36"/>
      <c r="D68" s="36" t="s">
        <v>305</v>
      </c>
      <c r="E68" s="196"/>
      <c r="F68" s="36"/>
      <c r="G68" s="36"/>
      <c r="H68" s="36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36"/>
      <c r="AA68" s="36"/>
      <c r="AB68" s="36"/>
      <c r="AC68" s="36"/>
      <c r="AD68" s="35"/>
      <c r="AE68" s="35"/>
      <c r="AF68" s="25"/>
    </row>
    <row r="69" spans="1:32" ht="18" customHeight="1">
      <c r="A69" s="195"/>
      <c r="B69" s="195"/>
      <c r="C69" s="195"/>
      <c r="D69" s="195"/>
      <c r="E69" s="541" t="s">
        <v>519</v>
      </c>
      <c r="F69" s="541" t="s">
        <v>111</v>
      </c>
      <c r="G69" s="516" t="s">
        <v>306</v>
      </c>
      <c r="H69" s="516"/>
      <c r="I69" s="541" t="s">
        <v>0</v>
      </c>
      <c r="J69" s="525">
        <f>$U$66*1000</f>
        <v>376000</v>
      </c>
      <c r="K69" s="525"/>
      <c r="L69" s="525"/>
      <c r="M69" s="541" t="s">
        <v>0</v>
      </c>
      <c r="N69" s="515">
        <f>$J$69/$J$70</f>
        <v>12</v>
      </c>
      <c r="O69" s="515"/>
      <c r="P69" s="518" t="s">
        <v>307</v>
      </c>
      <c r="Q69" s="518"/>
      <c r="R69" s="541" t="str">
        <f>IF($N$69&lt;=$U$69,"＜","＞")</f>
        <v>＜</v>
      </c>
      <c r="S69" s="519" t="s">
        <v>521</v>
      </c>
      <c r="T69" s="519"/>
      <c r="U69" s="520">
        <f>VLOOKUP($J$25,'使用材一覧'!$AC$18:$AO$22,12,FALSE)</f>
        <v>16.2</v>
      </c>
      <c r="V69" s="520"/>
      <c r="W69" s="541" t="s">
        <v>309</v>
      </c>
      <c r="X69" s="541"/>
      <c r="Y69" s="517">
        <f>IF($N$69&lt;=$U$69,"","NG")</f>
      </c>
      <c r="Z69" s="517"/>
      <c r="AA69" s="517"/>
      <c r="AB69" s="517"/>
      <c r="AC69" s="195"/>
      <c r="AD69" s="35"/>
      <c r="AE69" s="35"/>
      <c r="AF69" s="25"/>
    </row>
    <row r="70" spans="1:31" ht="18" customHeight="1">
      <c r="A70" s="195"/>
      <c r="B70" s="195"/>
      <c r="C70" s="195"/>
      <c r="D70" s="195"/>
      <c r="E70" s="541"/>
      <c r="F70" s="541"/>
      <c r="G70" s="541" t="s">
        <v>208</v>
      </c>
      <c r="H70" s="541"/>
      <c r="I70" s="541"/>
      <c r="J70" s="544">
        <f>VLOOKUP($J$25,'使用材一覧'!$AC$18:$AO$22,10,FALSE)</f>
        <v>31360</v>
      </c>
      <c r="K70" s="544"/>
      <c r="L70" s="544"/>
      <c r="M70" s="541"/>
      <c r="N70" s="515"/>
      <c r="O70" s="515"/>
      <c r="P70" s="518"/>
      <c r="Q70" s="518"/>
      <c r="R70" s="541"/>
      <c r="S70" s="519"/>
      <c r="T70" s="519"/>
      <c r="U70" s="520"/>
      <c r="V70" s="520"/>
      <c r="W70" s="541"/>
      <c r="X70" s="541"/>
      <c r="Y70" s="517"/>
      <c r="Z70" s="517"/>
      <c r="AA70" s="517"/>
      <c r="AB70" s="517"/>
      <c r="AC70" s="195"/>
      <c r="AD70" s="13"/>
      <c r="AE70" s="13"/>
    </row>
    <row r="71" spans="1:31" ht="18" customHeight="1">
      <c r="A71" s="195"/>
      <c r="B71" s="195"/>
      <c r="C71" s="195"/>
      <c r="D71" s="195"/>
      <c r="E71" s="42"/>
      <c r="F71" s="42"/>
      <c r="G71" s="42"/>
      <c r="H71" s="42"/>
      <c r="I71" s="42"/>
      <c r="J71" s="39"/>
      <c r="K71" s="39"/>
      <c r="L71" s="39"/>
      <c r="M71" s="42"/>
      <c r="N71" s="62"/>
      <c r="O71" s="62"/>
      <c r="P71" s="205"/>
      <c r="Q71" s="205"/>
      <c r="R71" s="42"/>
      <c r="S71" s="206"/>
      <c r="T71" s="206"/>
      <c r="U71" s="38"/>
      <c r="V71" s="38"/>
      <c r="W71" s="42"/>
      <c r="X71" s="42"/>
      <c r="Y71" s="207"/>
      <c r="Z71" s="207"/>
      <c r="AA71" s="207"/>
      <c r="AB71" s="207"/>
      <c r="AC71" s="195"/>
      <c r="AD71" s="13"/>
      <c r="AE71" s="13"/>
    </row>
    <row r="72" spans="1:31" ht="18" customHeight="1">
      <c r="A72" s="195"/>
      <c r="B72" s="195"/>
      <c r="C72" s="195"/>
      <c r="D72" s="195"/>
      <c r="E72" s="195"/>
      <c r="F72" s="195"/>
      <c r="G72" s="195"/>
      <c r="H72" s="195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195"/>
      <c r="AA72" s="195"/>
      <c r="AB72" s="195"/>
      <c r="AC72" s="195"/>
      <c r="AD72" s="13"/>
      <c r="AE72" s="13"/>
    </row>
    <row r="73" spans="1:30" ht="18" customHeight="1">
      <c r="A73" s="36"/>
      <c r="B73" s="36"/>
      <c r="C73" s="36" t="s">
        <v>15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79"/>
      <c r="AB73" s="79"/>
      <c r="AC73" s="79"/>
      <c r="AD73" s="13"/>
    </row>
    <row r="74" spans="1:30" ht="18" customHeight="1">
      <c r="A74" s="36"/>
      <c r="B74" s="36"/>
      <c r="C74" s="36"/>
      <c r="D74" s="36"/>
      <c r="E74" s="36"/>
      <c r="F74" s="36"/>
      <c r="G74" s="41"/>
      <c r="H74" s="41"/>
      <c r="I74" s="41"/>
      <c r="J74" s="80"/>
      <c r="K74" s="80"/>
      <c r="L74" s="102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79"/>
      <c r="AB74" s="79"/>
      <c r="AC74" s="79"/>
      <c r="AD74" s="13"/>
    </row>
    <row r="75" spans="1:30" ht="18" customHeight="1">
      <c r="A75" s="36"/>
      <c r="B75" s="36"/>
      <c r="C75" s="36"/>
      <c r="D75" s="36"/>
      <c r="E75" s="541" t="s">
        <v>520</v>
      </c>
      <c r="F75" s="541" t="s">
        <v>111</v>
      </c>
      <c r="G75" s="516" t="s">
        <v>524</v>
      </c>
      <c r="H75" s="516"/>
      <c r="I75" s="516"/>
      <c r="J75" s="541" t="s">
        <v>12</v>
      </c>
      <c r="K75" s="573" t="s">
        <v>526</v>
      </c>
      <c r="L75" s="573"/>
      <c r="M75" s="573"/>
      <c r="N75" s="36"/>
      <c r="O75" s="36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79"/>
      <c r="AB75" s="79"/>
      <c r="AC75" s="79"/>
      <c r="AD75" s="13"/>
    </row>
    <row r="76" spans="1:30" ht="18" customHeight="1">
      <c r="A76" s="36"/>
      <c r="B76" s="36"/>
      <c r="C76" s="36"/>
      <c r="D76" s="36"/>
      <c r="E76" s="541"/>
      <c r="F76" s="541"/>
      <c r="G76" s="541" t="s">
        <v>525</v>
      </c>
      <c r="H76" s="541"/>
      <c r="I76" s="541"/>
      <c r="J76" s="541"/>
      <c r="K76" s="541" t="s">
        <v>527</v>
      </c>
      <c r="L76" s="541"/>
      <c r="M76" s="541"/>
      <c r="N76" s="36"/>
      <c r="O76" s="36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79"/>
      <c r="AB76" s="79"/>
      <c r="AC76" s="79"/>
      <c r="AD76" s="13"/>
    </row>
    <row r="77" spans="1:30" ht="8.25" customHeight="1">
      <c r="A77" s="36"/>
      <c r="B77" s="36"/>
      <c r="C77" s="36"/>
      <c r="D77" s="36"/>
      <c r="E77" s="41"/>
      <c r="F77" s="41"/>
      <c r="G77" s="36"/>
      <c r="H77" s="36"/>
      <c r="I77" s="36"/>
      <c r="J77" s="36"/>
      <c r="K77" s="36"/>
      <c r="L77" s="36"/>
      <c r="M77" s="201"/>
      <c r="N77" s="201"/>
      <c r="O77" s="36"/>
      <c r="P77" s="36"/>
      <c r="Q77" s="36"/>
      <c r="R77" s="36"/>
      <c r="S77" s="36"/>
      <c r="T77" s="36"/>
      <c r="U77" s="36"/>
      <c r="V77" s="36"/>
      <c r="W77" s="201"/>
      <c r="X77" s="201"/>
      <c r="Y77" s="201"/>
      <c r="Z77" s="36"/>
      <c r="AA77" s="79"/>
      <c r="AB77" s="79"/>
      <c r="AC77" s="79"/>
      <c r="AD77" s="13"/>
    </row>
    <row r="78" spans="1:30" ht="18" customHeight="1">
      <c r="A78" s="36"/>
      <c r="B78" s="36"/>
      <c r="C78" s="36"/>
      <c r="D78" s="36"/>
      <c r="E78" s="41"/>
      <c r="F78" s="541" t="s">
        <v>111</v>
      </c>
      <c r="G78" s="500">
        <f>$N$59</f>
        <v>1860</v>
      </c>
      <c r="H78" s="501"/>
      <c r="I78" s="501"/>
      <c r="J78" s="40" t="s">
        <v>1</v>
      </c>
      <c r="K78" s="521">
        <f>$M$56</f>
        <v>800</v>
      </c>
      <c r="L78" s="521"/>
      <c r="M78" s="202" t="s">
        <v>310</v>
      </c>
      <c r="N78" s="208"/>
      <c r="O78" s="209"/>
      <c r="P78" s="541" t="s">
        <v>12</v>
      </c>
      <c r="Q78" s="516">
        <v>5</v>
      </c>
      <c r="R78" s="516"/>
      <c r="S78" s="40" t="s">
        <v>1</v>
      </c>
      <c r="T78" s="504">
        <f>$N$60/1000</f>
        <v>0.044</v>
      </c>
      <c r="U78" s="504"/>
      <c r="V78" s="505"/>
      <c r="W78" s="40" t="s">
        <v>1</v>
      </c>
      <c r="X78" s="502">
        <f>$M$56</f>
        <v>800</v>
      </c>
      <c r="Y78" s="503"/>
      <c r="Z78" s="202" t="s">
        <v>311</v>
      </c>
      <c r="AA78" s="79"/>
      <c r="AB78" s="79"/>
      <c r="AC78" s="79"/>
      <c r="AD78" s="13"/>
    </row>
    <row r="79" spans="1:30" ht="18" customHeight="1">
      <c r="A79" s="36"/>
      <c r="B79" s="36"/>
      <c r="C79" s="36"/>
      <c r="D79" s="36"/>
      <c r="E79" s="41"/>
      <c r="F79" s="541"/>
      <c r="G79" s="41">
        <v>48</v>
      </c>
      <c r="H79" s="41" t="s">
        <v>101</v>
      </c>
      <c r="I79" s="506">
        <f>VLOOKUP($J$25,'使用材一覧'!$AC$18:$AO$22,11,FALSE)</f>
        <v>6860</v>
      </c>
      <c r="J79" s="506"/>
      <c r="K79" s="506"/>
      <c r="L79" s="41" t="s">
        <v>1</v>
      </c>
      <c r="M79" s="507">
        <f>VLOOKUP($J$25,'使用材一覧'!$AC$18:$AO$22,9,FALSE)</f>
        <v>439000</v>
      </c>
      <c r="N79" s="507"/>
      <c r="O79" s="507"/>
      <c r="P79" s="541"/>
      <c r="Q79" s="541">
        <v>384</v>
      </c>
      <c r="R79" s="541"/>
      <c r="S79" s="36" t="s">
        <v>101</v>
      </c>
      <c r="T79" s="506">
        <f>$I$79</f>
        <v>6860</v>
      </c>
      <c r="U79" s="506"/>
      <c r="V79" s="506"/>
      <c r="W79" s="41" t="s">
        <v>1</v>
      </c>
      <c r="X79" s="507">
        <f>$M$79</f>
        <v>439000</v>
      </c>
      <c r="Y79" s="507"/>
      <c r="Z79" s="507"/>
      <c r="AA79" s="79"/>
      <c r="AB79" s="79"/>
      <c r="AC79" s="79"/>
      <c r="AD79" s="13"/>
    </row>
    <row r="80" spans="1:30" ht="18" customHeight="1">
      <c r="A80" s="36"/>
      <c r="B80" s="36"/>
      <c r="C80" s="36"/>
      <c r="D80" s="36"/>
      <c r="E80" s="41"/>
      <c r="F80" s="41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79"/>
      <c r="AB80" s="79"/>
      <c r="AC80" s="79"/>
      <c r="AD80" s="13"/>
    </row>
    <row r="81" spans="1:30" ht="18" customHeight="1">
      <c r="A81" s="36"/>
      <c r="B81" s="36"/>
      <c r="C81" s="36"/>
      <c r="D81" s="36"/>
      <c r="E81" s="41"/>
      <c r="F81" s="42" t="s">
        <v>111</v>
      </c>
      <c r="G81" s="522">
        <f>$G$78*$K$78^3/($G$79*$I$79*$M$79)+$Q$78*$T$78*$X$78^4/($Q$79*$T$79*$X$79)</f>
        <v>7</v>
      </c>
      <c r="H81" s="522"/>
      <c r="I81" s="36" t="s">
        <v>32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79"/>
      <c r="AB81" s="79"/>
      <c r="AC81" s="79"/>
      <c r="AD81" s="13"/>
    </row>
    <row r="82" spans="1:30" ht="18" customHeight="1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3"/>
    </row>
    <row r="83" spans="1:30" ht="18" customHeight="1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3"/>
    </row>
    <row r="84" spans="1:30" ht="18" customHeight="1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2"/>
    </row>
    <row r="85" spans="1:30" ht="18" customHeight="1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2"/>
    </row>
    <row r="86" spans="1:30" ht="18" customHeight="1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2"/>
    </row>
    <row r="87" spans="1:30" ht="18" customHeight="1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2"/>
    </row>
    <row r="88" spans="1:30" ht="18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8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ht="18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18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8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18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18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18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ht="18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18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18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ht="18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ht="18" customHeight="1">
      <c r="AD100" s="12"/>
    </row>
    <row r="101" ht="18" customHeight="1">
      <c r="AD101" s="12"/>
    </row>
    <row r="102" ht="18" customHeight="1">
      <c r="AD102" s="12"/>
    </row>
    <row r="103" ht="18" customHeight="1">
      <c r="AD103" s="12"/>
    </row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</sheetData>
  <sheetProtection sheet="1" objects="1" scenarios="1"/>
  <mergeCells count="116">
    <mergeCell ref="AL33:AL34"/>
    <mergeCell ref="AM33:AM34"/>
    <mergeCell ref="AN33:AO34"/>
    <mergeCell ref="AG33:AH34"/>
    <mergeCell ref="AI33:AI34"/>
    <mergeCell ref="AJ33:AJ34"/>
    <mergeCell ref="AK33:AK34"/>
    <mergeCell ref="AL29:AL30"/>
    <mergeCell ref="AM29:AM30"/>
    <mergeCell ref="AN29:AO30"/>
    <mergeCell ref="AG31:AH32"/>
    <mergeCell ref="AI31:AI32"/>
    <mergeCell ref="AJ31:AJ32"/>
    <mergeCell ref="AK31:AK32"/>
    <mergeCell ref="AL31:AL32"/>
    <mergeCell ref="AM31:AM32"/>
    <mergeCell ref="AN31:AO32"/>
    <mergeCell ref="AG29:AH30"/>
    <mergeCell ref="AI29:AI30"/>
    <mergeCell ref="AJ29:AJ30"/>
    <mergeCell ref="AK29:AK30"/>
    <mergeCell ref="AL25:AL26"/>
    <mergeCell ref="AM25:AM26"/>
    <mergeCell ref="AN25:AO26"/>
    <mergeCell ref="AG27:AH28"/>
    <mergeCell ref="AI27:AI28"/>
    <mergeCell ref="AJ27:AJ28"/>
    <mergeCell ref="AK27:AK28"/>
    <mergeCell ref="AL27:AL28"/>
    <mergeCell ref="AM27:AM28"/>
    <mergeCell ref="AN27:AO28"/>
    <mergeCell ref="AG25:AH26"/>
    <mergeCell ref="AI25:AI26"/>
    <mergeCell ref="AJ25:AJ26"/>
    <mergeCell ref="AK25:AK26"/>
    <mergeCell ref="Z25:AA25"/>
    <mergeCell ref="J64:K64"/>
    <mergeCell ref="V33:X33"/>
    <mergeCell ref="Q60:R60"/>
    <mergeCell ref="J25:P25"/>
    <mergeCell ref="R25:T25"/>
    <mergeCell ref="M56:N56"/>
    <mergeCell ref="U25:V25"/>
    <mergeCell ref="X25:Y25"/>
    <mergeCell ref="P38:R38"/>
    <mergeCell ref="G16:H16"/>
    <mergeCell ref="U66:V67"/>
    <mergeCell ref="G66:I66"/>
    <mergeCell ref="N66:O66"/>
    <mergeCell ref="Q66:R66"/>
    <mergeCell ref="K66:L66"/>
    <mergeCell ref="M66:M67"/>
    <mergeCell ref="G64:H64"/>
    <mergeCell ref="G81:H81"/>
    <mergeCell ref="G78:I78"/>
    <mergeCell ref="X78:Y78"/>
    <mergeCell ref="T78:V78"/>
    <mergeCell ref="I79:K79"/>
    <mergeCell ref="M79:O79"/>
    <mergeCell ref="Q79:R79"/>
    <mergeCell ref="T79:V79"/>
    <mergeCell ref="X79:Z79"/>
    <mergeCell ref="Q78:R78"/>
    <mergeCell ref="F78:F79"/>
    <mergeCell ref="K78:L78"/>
    <mergeCell ref="P78:P79"/>
    <mergeCell ref="N59:P59"/>
    <mergeCell ref="N60:P60"/>
    <mergeCell ref="G63:H63"/>
    <mergeCell ref="G75:I75"/>
    <mergeCell ref="I63:I64"/>
    <mergeCell ref="J63:K63"/>
    <mergeCell ref="M69:M70"/>
    <mergeCell ref="Y69:AB70"/>
    <mergeCell ref="P69:Q70"/>
    <mergeCell ref="R69:R70"/>
    <mergeCell ref="S69:T70"/>
    <mergeCell ref="U69:V70"/>
    <mergeCell ref="W69:X70"/>
    <mergeCell ref="W66:X67"/>
    <mergeCell ref="G76:I76"/>
    <mergeCell ref="K76:M76"/>
    <mergeCell ref="T66:T67"/>
    <mergeCell ref="N69:O70"/>
    <mergeCell ref="G69:H69"/>
    <mergeCell ref="I69:I70"/>
    <mergeCell ref="G70:H70"/>
    <mergeCell ref="J75:J76"/>
    <mergeCell ref="K75:M75"/>
    <mergeCell ref="J69:L69"/>
    <mergeCell ref="W16:X16"/>
    <mergeCell ref="J23:P23"/>
    <mergeCell ref="R23:T23"/>
    <mergeCell ref="R21:T21"/>
    <mergeCell ref="U23:V23"/>
    <mergeCell ref="F32:U32"/>
    <mergeCell ref="H38:O38"/>
    <mergeCell ref="H42:O42"/>
    <mergeCell ref="P42:R42"/>
    <mergeCell ref="J70:L70"/>
    <mergeCell ref="S10:T10"/>
    <mergeCell ref="J21:P21"/>
    <mergeCell ref="U21:V21"/>
    <mergeCell ref="H39:O39"/>
    <mergeCell ref="P39:R39"/>
    <mergeCell ref="H40:O40"/>
    <mergeCell ref="P40:R40"/>
    <mergeCell ref="H41:O41"/>
    <mergeCell ref="P41:R41"/>
    <mergeCell ref="E75:E76"/>
    <mergeCell ref="F75:F76"/>
    <mergeCell ref="E63:E64"/>
    <mergeCell ref="F63:F64"/>
    <mergeCell ref="E69:E70"/>
    <mergeCell ref="F69:F70"/>
    <mergeCell ref="F66:F67"/>
  </mergeCells>
  <dataValidations count="1">
    <dataValidation type="list" allowBlank="1" showInputMessage="1" showErrorMessage="1" sqref="F32:U32">
      <formula1>$AG$38:$AG$40</formula1>
    </dataValidation>
  </dataValidations>
  <printOptions/>
  <pageMargins left="0.7874015748031497" right="0.3937007874015748" top="0.6" bottom="0.25" header="0.47" footer="0.11811023622047245"/>
  <pageSetup horizontalDpi="300" verticalDpi="300" orientation="portrait" paperSize="9" r:id="rId2"/>
  <rowBreaks count="2" manualBreakCount="2">
    <brk id="47" max="28" man="1"/>
    <brk id="72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0" width="3.09765625" style="1" customWidth="1"/>
    <col min="11" max="11" width="4.59765625" style="1" customWidth="1"/>
    <col min="12" max="31" width="3.09765625" style="1" customWidth="1"/>
    <col min="32" max="16384" width="4.69921875" style="1" customWidth="1"/>
  </cols>
  <sheetData>
    <row r="1" spans="1:34" ht="18" customHeight="1">
      <c r="A1" s="80"/>
      <c r="B1" s="482" t="s">
        <v>800</v>
      </c>
      <c r="C1" s="82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86"/>
      <c r="AC1" s="80"/>
      <c r="AD1" s="80"/>
      <c r="AE1" s="80"/>
      <c r="AF1" s="80"/>
      <c r="AG1" s="17"/>
      <c r="AH1" s="17"/>
    </row>
    <row r="2" spans="1:34" ht="18" customHeight="1">
      <c r="A2" s="80"/>
      <c r="B2" s="36"/>
      <c r="C2" s="8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86"/>
      <c r="AC2" s="80"/>
      <c r="AD2" s="80"/>
      <c r="AE2" s="80"/>
      <c r="AF2" s="80"/>
      <c r="AG2" s="17"/>
      <c r="AH2" s="17"/>
    </row>
    <row r="3" spans="1:34" ht="18" customHeight="1">
      <c r="A3" s="80"/>
      <c r="B3" s="36"/>
      <c r="C3" s="36"/>
      <c r="D3" s="36"/>
      <c r="E3" s="36"/>
      <c r="F3" s="36"/>
      <c r="G3" s="36"/>
      <c r="H3" s="36"/>
      <c r="I3" s="36"/>
      <c r="J3" s="36" t="s">
        <v>17</v>
      </c>
      <c r="K3" s="36"/>
      <c r="L3" s="36"/>
      <c r="M3" s="541" t="s">
        <v>10</v>
      </c>
      <c r="N3" s="541"/>
      <c r="O3" s="41"/>
      <c r="P3" s="36"/>
      <c r="Q3" s="36"/>
      <c r="R3" s="36"/>
      <c r="S3" s="36" t="s">
        <v>33</v>
      </c>
      <c r="T3" s="36"/>
      <c r="U3" s="36"/>
      <c r="V3" s="36"/>
      <c r="W3" s="36"/>
      <c r="X3" s="36"/>
      <c r="Y3" s="36"/>
      <c r="Z3" s="36"/>
      <c r="AA3" s="36"/>
      <c r="AB3" s="186"/>
      <c r="AC3" s="80"/>
      <c r="AD3" s="80"/>
      <c r="AE3" s="80"/>
      <c r="AF3" s="80"/>
      <c r="AG3" s="17"/>
      <c r="AH3" s="17"/>
    </row>
    <row r="4" spans="1:34" ht="18" customHeight="1">
      <c r="A4" s="80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186"/>
      <c r="AC4" s="80"/>
      <c r="AD4" s="80"/>
      <c r="AE4" s="80"/>
      <c r="AF4" s="80"/>
      <c r="AG4" s="17"/>
      <c r="AH4" s="17"/>
    </row>
    <row r="5" spans="1:34" ht="18" customHeight="1">
      <c r="A5" s="8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186"/>
      <c r="AC5" s="80"/>
      <c r="AD5" s="80"/>
      <c r="AE5" s="80"/>
      <c r="AF5" s="80"/>
      <c r="AG5" s="17"/>
      <c r="AH5" s="17"/>
    </row>
    <row r="6" spans="1:34" ht="18" customHeight="1">
      <c r="A6" s="8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186"/>
      <c r="AC6" s="80"/>
      <c r="AD6" s="80"/>
      <c r="AE6" s="80"/>
      <c r="AF6" s="80"/>
      <c r="AG6" s="17"/>
      <c r="AH6" s="17"/>
    </row>
    <row r="7" spans="1:34" ht="18" customHeight="1">
      <c r="A7" s="80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80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186"/>
      <c r="AC7" s="80"/>
      <c r="AD7" s="80"/>
      <c r="AE7" s="80"/>
      <c r="AF7" s="80"/>
      <c r="AG7" s="17"/>
      <c r="AH7" s="17"/>
    </row>
    <row r="8" spans="1:34" ht="18" customHeight="1">
      <c r="A8" s="80"/>
      <c r="B8" s="36"/>
      <c r="C8" s="36"/>
      <c r="D8" s="36"/>
      <c r="E8" s="36"/>
      <c r="F8" s="36"/>
      <c r="G8" s="36"/>
      <c r="H8" s="36"/>
      <c r="I8" s="36"/>
      <c r="J8" s="36"/>
      <c r="K8" s="80"/>
      <c r="L8" s="36"/>
      <c r="M8" s="36"/>
      <c r="N8" s="36"/>
      <c r="O8" s="36" t="s">
        <v>18</v>
      </c>
      <c r="P8" s="36"/>
      <c r="Q8" s="36"/>
      <c r="R8" s="36"/>
      <c r="S8" s="36"/>
      <c r="T8" s="36"/>
      <c r="U8" s="36" t="s">
        <v>90</v>
      </c>
      <c r="V8" s="36"/>
      <c r="W8" s="36"/>
      <c r="X8" s="36"/>
      <c r="Y8" s="36"/>
      <c r="Z8" s="36"/>
      <c r="AA8" s="36"/>
      <c r="AB8" s="186"/>
      <c r="AC8" s="80"/>
      <c r="AD8" s="80"/>
      <c r="AE8" s="80"/>
      <c r="AF8" s="80"/>
      <c r="AG8" s="17"/>
      <c r="AH8" s="17"/>
    </row>
    <row r="9" spans="1:34" ht="18" customHeight="1">
      <c r="A9" s="80"/>
      <c r="B9" s="36"/>
      <c r="C9" s="36"/>
      <c r="D9" s="36"/>
      <c r="E9" s="36"/>
      <c r="F9" s="36"/>
      <c r="G9" s="36"/>
      <c r="H9" s="36"/>
      <c r="I9" s="36"/>
      <c r="J9" s="36"/>
      <c r="K9" s="80"/>
      <c r="L9" s="36" t="s">
        <v>11</v>
      </c>
      <c r="M9" s="644">
        <v>1800</v>
      </c>
      <c r="N9" s="645"/>
      <c r="O9" s="645"/>
      <c r="P9" s="36" t="s">
        <v>32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186"/>
      <c r="AC9" s="80"/>
      <c r="AD9" s="80"/>
      <c r="AE9" s="80"/>
      <c r="AF9" s="80"/>
      <c r="AG9" s="17"/>
      <c r="AH9" s="17"/>
    </row>
    <row r="10" spans="1:34" ht="18" customHeight="1">
      <c r="A10" s="8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186"/>
      <c r="AC10" s="80"/>
      <c r="AD10" s="80"/>
      <c r="AE10" s="80"/>
      <c r="AF10" s="80"/>
      <c r="AG10" s="17"/>
      <c r="AH10" s="17"/>
    </row>
    <row r="11" spans="1:34" ht="18" customHeight="1">
      <c r="A11" s="80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186"/>
      <c r="AC11" s="80"/>
      <c r="AD11" s="80"/>
      <c r="AE11" s="80"/>
      <c r="AF11" s="80"/>
      <c r="AG11" s="17"/>
      <c r="AH11" s="17"/>
    </row>
    <row r="12" spans="1:34" ht="18" customHeight="1">
      <c r="A12" s="80"/>
      <c r="B12" s="36"/>
      <c r="C12" s="36"/>
      <c r="D12" s="36"/>
      <c r="E12" s="36" t="s">
        <v>9</v>
      </c>
      <c r="F12" s="36"/>
      <c r="G12" s="36"/>
      <c r="H12" s="36"/>
      <c r="I12" s="36"/>
      <c r="J12" s="36"/>
      <c r="K12" s="36"/>
      <c r="L12" s="36"/>
      <c r="M12" s="36"/>
      <c r="N12" s="36"/>
      <c r="O12" s="80"/>
      <c r="P12" s="210"/>
      <c r="Q12" s="41"/>
      <c r="R12" s="42" t="s">
        <v>86</v>
      </c>
      <c r="S12" s="50"/>
      <c r="T12" s="41"/>
      <c r="U12" s="36"/>
      <c r="V12" s="42" t="s">
        <v>28</v>
      </c>
      <c r="W12" s="584">
        <f>'足場板'!$V$33</f>
        <v>1860</v>
      </c>
      <c r="X12" s="546"/>
      <c r="Y12" s="546"/>
      <c r="Z12" s="36" t="s">
        <v>31</v>
      </c>
      <c r="AA12" s="36"/>
      <c r="AB12" s="186"/>
      <c r="AC12" s="80"/>
      <c r="AD12" s="80"/>
      <c r="AE12" s="80"/>
      <c r="AF12" s="80"/>
      <c r="AG12" s="17"/>
      <c r="AH12" s="17"/>
    </row>
    <row r="13" spans="1:34" ht="18" customHeight="1">
      <c r="A13" s="80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51"/>
      <c r="P13" s="51"/>
      <c r="Q13" s="41"/>
      <c r="R13" s="50"/>
      <c r="S13" s="50"/>
      <c r="T13" s="36"/>
      <c r="U13" s="36"/>
      <c r="V13" s="36"/>
      <c r="W13" s="36"/>
      <c r="X13" s="36"/>
      <c r="Y13" s="36"/>
      <c r="Z13" s="36"/>
      <c r="AA13" s="36"/>
      <c r="AB13" s="186"/>
      <c r="AC13" s="80"/>
      <c r="AD13" s="80"/>
      <c r="AE13" s="80"/>
      <c r="AF13" s="80"/>
      <c r="AG13" s="17"/>
      <c r="AH13" s="17"/>
    </row>
    <row r="14" spans="1:34" ht="18" customHeight="1">
      <c r="A14" s="80"/>
      <c r="B14" s="36"/>
      <c r="C14" s="36"/>
      <c r="D14" s="36"/>
      <c r="E14" s="36" t="s">
        <v>8</v>
      </c>
      <c r="F14" s="36"/>
      <c r="G14" s="36"/>
      <c r="H14" s="36"/>
      <c r="I14" s="36"/>
      <c r="J14" s="36" t="s">
        <v>35</v>
      </c>
      <c r="K14" s="36"/>
      <c r="L14" s="80"/>
      <c r="M14" s="36"/>
      <c r="N14" s="36"/>
      <c r="O14" s="36"/>
      <c r="P14" s="36"/>
      <c r="Q14" s="36"/>
      <c r="R14" s="36"/>
      <c r="S14" s="36"/>
      <c r="T14" s="36"/>
      <c r="U14" s="36"/>
      <c r="V14" s="42" t="s">
        <v>28</v>
      </c>
      <c r="W14" s="648">
        <f>'足場板'!$R$21</f>
        <v>69</v>
      </c>
      <c r="X14" s="649"/>
      <c r="Y14" s="649"/>
      <c r="Z14" s="36" t="s">
        <v>66</v>
      </c>
      <c r="AA14" s="36"/>
      <c r="AB14" s="186"/>
      <c r="AC14" s="80"/>
      <c r="AD14" s="80"/>
      <c r="AE14" s="80"/>
      <c r="AF14" s="80"/>
      <c r="AG14" s="17"/>
      <c r="AH14" s="17"/>
    </row>
    <row r="15" spans="1:34" ht="18" customHeight="1">
      <c r="A15" s="80"/>
      <c r="B15" s="36"/>
      <c r="C15" s="36"/>
      <c r="D15" s="36"/>
      <c r="E15" s="36"/>
      <c r="F15" s="36"/>
      <c r="G15" s="36"/>
      <c r="H15" s="36"/>
      <c r="I15" s="208"/>
      <c r="J15" s="208" t="s">
        <v>16</v>
      </c>
      <c r="K15" s="208"/>
      <c r="L15" s="208"/>
      <c r="M15" s="208"/>
      <c r="N15" s="642">
        <f>'足場板'!$X$25</f>
        <v>184</v>
      </c>
      <c r="O15" s="643"/>
      <c r="P15" s="44" t="s">
        <v>312</v>
      </c>
      <c r="Q15" s="45"/>
      <c r="R15" s="45" t="s">
        <v>101</v>
      </c>
      <c r="S15" s="653">
        <f>'足場板'!$M$56/1000</f>
        <v>0.8</v>
      </c>
      <c r="T15" s="653"/>
      <c r="U15" s="46" t="s">
        <v>85</v>
      </c>
      <c r="V15" s="211" t="s">
        <v>0</v>
      </c>
      <c r="W15" s="650">
        <f>$N$15*$S$15</f>
        <v>147</v>
      </c>
      <c r="X15" s="651"/>
      <c r="Y15" s="651"/>
      <c r="Z15" s="208" t="s">
        <v>66</v>
      </c>
      <c r="AA15" s="208"/>
      <c r="AB15" s="186"/>
      <c r="AC15" s="80"/>
      <c r="AD15" s="80"/>
      <c r="AE15" s="80"/>
      <c r="AF15" s="80"/>
      <c r="AG15" s="17"/>
      <c r="AH15" s="17"/>
    </row>
    <row r="16" spans="1:34" ht="18" customHeight="1">
      <c r="A16" s="80"/>
      <c r="B16" s="36"/>
      <c r="C16" s="36"/>
      <c r="D16" s="36"/>
      <c r="E16" s="36"/>
      <c r="F16" s="36"/>
      <c r="G16" s="36"/>
      <c r="H16" s="36"/>
      <c r="I16" s="204"/>
      <c r="J16" s="212"/>
      <c r="K16" s="212"/>
      <c r="L16" s="213"/>
      <c r="M16" s="213"/>
      <c r="N16" s="214"/>
      <c r="O16" s="203"/>
      <c r="P16" s="203"/>
      <c r="Q16" s="213"/>
      <c r="R16" s="203" t="s">
        <v>167</v>
      </c>
      <c r="S16" s="204"/>
      <c r="T16" s="215"/>
      <c r="U16" s="216"/>
      <c r="V16" s="203" t="s">
        <v>28</v>
      </c>
      <c r="W16" s="654">
        <f>$W$14+$W$15</f>
        <v>216</v>
      </c>
      <c r="X16" s="655"/>
      <c r="Y16" s="655"/>
      <c r="Z16" s="204" t="s">
        <v>66</v>
      </c>
      <c r="AA16" s="204"/>
      <c r="AB16" s="186"/>
      <c r="AC16" s="80"/>
      <c r="AD16" s="80"/>
      <c r="AE16" s="80"/>
      <c r="AF16" s="80"/>
      <c r="AG16" s="17"/>
      <c r="AH16" s="17"/>
    </row>
    <row r="17" spans="1:34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186"/>
      <c r="AA17" s="80"/>
      <c r="AB17" s="80"/>
      <c r="AC17" s="80"/>
      <c r="AD17" s="80"/>
      <c r="AE17" s="80"/>
      <c r="AF17" s="80"/>
      <c r="AG17" s="17"/>
      <c r="AH17" s="17"/>
    </row>
    <row r="18" spans="1:34" ht="18" customHeight="1">
      <c r="A18" s="36"/>
      <c r="B18" s="36"/>
      <c r="C18" s="36" t="s">
        <v>304</v>
      </c>
      <c r="D18" s="36"/>
      <c r="E18" s="36"/>
      <c r="F18" s="36"/>
      <c r="G18" s="36"/>
      <c r="H18" s="36"/>
      <c r="I18" s="36"/>
      <c r="J18" s="217"/>
      <c r="K18" s="217"/>
      <c r="L18" s="36"/>
      <c r="M18" s="36"/>
      <c r="N18" s="36"/>
      <c r="O18" s="9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186"/>
      <c r="AA18" s="80"/>
      <c r="AB18" s="80"/>
      <c r="AC18" s="80"/>
      <c r="AD18" s="80"/>
      <c r="AE18" s="80"/>
      <c r="AF18" s="80"/>
      <c r="AG18" s="17"/>
      <c r="AH18" s="17"/>
    </row>
    <row r="19" spans="1:34" ht="18" customHeight="1">
      <c r="A19" s="36"/>
      <c r="B19" s="36"/>
      <c r="C19" s="36"/>
      <c r="D19" s="541" t="s">
        <v>518</v>
      </c>
      <c r="E19" s="541" t="s">
        <v>111</v>
      </c>
      <c r="F19" s="573" t="s">
        <v>522</v>
      </c>
      <c r="G19" s="573"/>
      <c r="H19" s="541" t="s">
        <v>12</v>
      </c>
      <c r="I19" s="516" t="s">
        <v>523</v>
      </c>
      <c r="J19" s="516"/>
      <c r="K19" s="42"/>
      <c r="L19" s="36"/>
      <c r="M19" s="36"/>
      <c r="N19" s="36"/>
      <c r="O19" s="9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186"/>
      <c r="AA19" s="80"/>
      <c r="AB19" s="80"/>
      <c r="AC19" s="80"/>
      <c r="AD19" s="80"/>
      <c r="AE19" s="80"/>
      <c r="AF19" s="80"/>
      <c r="AG19" s="17"/>
      <c r="AH19" s="17"/>
    </row>
    <row r="20" spans="1:34" ht="18" customHeight="1">
      <c r="A20" s="36"/>
      <c r="B20" s="36"/>
      <c r="C20" s="36"/>
      <c r="D20" s="541"/>
      <c r="E20" s="541"/>
      <c r="F20" s="541">
        <v>4</v>
      </c>
      <c r="G20" s="541"/>
      <c r="H20" s="541"/>
      <c r="I20" s="541">
        <v>8</v>
      </c>
      <c r="J20" s="541"/>
      <c r="K20" s="36"/>
      <c r="L20" s="36"/>
      <c r="M20" s="36"/>
      <c r="N20" s="36"/>
      <c r="O20" s="9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86"/>
      <c r="AA20" s="80"/>
      <c r="AB20" s="80"/>
      <c r="AC20" s="80"/>
      <c r="AD20" s="80"/>
      <c r="AE20" s="80"/>
      <c r="AF20" s="80"/>
      <c r="AG20" s="17"/>
      <c r="AH20" s="17"/>
    </row>
    <row r="21" spans="1:34" ht="18" customHeight="1">
      <c r="A21" s="36"/>
      <c r="B21" s="36"/>
      <c r="C21" s="36"/>
      <c r="D21" s="36"/>
      <c r="E21" s="36"/>
      <c r="F21" s="186"/>
      <c r="G21" s="186"/>
      <c r="H21" s="186"/>
      <c r="I21" s="186"/>
      <c r="J21" s="186"/>
      <c r="K21" s="42"/>
      <c r="L21" s="36"/>
      <c r="M21" s="36"/>
      <c r="N21" s="36"/>
      <c r="O21" s="36"/>
      <c r="P21" s="36"/>
      <c r="Q21" s="36"/>
      <c r="R21" s="36"/>
      <c r="S21" s="36"/>
      <c r="T21" s="36"/>
      <c r="U21" s="80"/>
      <c r="V21" s="80"/>
      <c r="W21" s="80"/>
      <c r="X21" s="36"/>
      <c r="Y21" s="36"/>
      <c r="Z21" s="186"/>
      <c r="AA21" s="80"/>
      <c r="AB21" s="80"/>
      <c r="AC21" s="80"/>
      <c r="AD21" s="80"/>
      <c r="AE21" s="80"/>
      <c r="AF21" s="80"/>
      <c r="AG21" s="17"/>
      <c r="AH21" s="17"/>
    </row>
    <row r="22" spans="1:34" ht="18" customHeight="1">
      <c r="A22" s="36"/>
      <c r="B22" s="36"/>
      <c r="C22" s="36"/>
      <c r="D22" s="42"/>
      <c r="E22" s="42"/>
      <c r="F22" s="640">
        <f>$W$12</f>
        <v>1860</v>
      </c>
      <c r="G22" s="503"/>
      <c r="H22" s="503"/>
      <c r="I22" s="40" t="s">
        <v>1</v>
      </c>
      <c r="J22" s="639">
        <f>$M$9/1000</f>
        <v>1.8</v>
      </c>
      <c r="K22" s="639"/>
      <c r="L22" s="541" t="s">
        <v>12</v>
      </c>
      <c r="M22" s="640">
        <f>$W$16</f>
        <v>216</v>
      </c>
      <c r="N22" s="640"/>
      <c r="O22" s="40" t="s">
        <v>1</v>
      </c>
      <c r="P22" s="638">
        <f>$M$9/1000</f>
        <v>1.8</v>
      </c>
      <c r="Q22" s="638"/>
      <c r="R22" s="47">
        <v>2</v>
      </c>
      <c r="S22" s="541" t="s">
        <v>0</v>
      </c>
      <c r="T22" s="507">
        <f>F22*J22/I23+M22*P22^2/O23</f>
        <v>924</v>
      </c>
      <c r="U22" s="507"/>
      <c r="V22" s="652" t="s">
        <v>314</v>
      </c>
      <c r="W22" s="652"/>
      <c r="X22" s="36"/>
      <c r="Y22" s="36"/>
      <c r="Z22" s="186"/>
      <c r="AA22" s="80"/>
      <c r="AB22" s="80"/>
      <c r="AC22" s="80"/>
      <c r="AD22" s="80"/>
      <c r="AE22" s="80"/>
      <c r="AF22" s="80"/>
      <c r="AG22" s="17"/>
      <c r="AH22" s="17"/>
    </row>
    <row r="23" spans="1:34" ht="18" customHeight="1">
      <c r="A23" s="36"/>
      <c r="B23" s="36"/>
      <c r="C23" s="36"/>
      <c r="D23" s="42"/>
      <c r="E23" s="42"/>
      <c r="F23" s="204"/>
      <c r="G23" s="204"/>
      <c r="H23" s="204"/>
      <c r="I23" s="42">
        <v>4</v>
      </c>
      <c r="J23" s="36"/>
      <c r="K23" s="36"/>
      <c r="L23" s="541"/>
      <c r="M23" s="41"/>
      <c r="N23" s="36"/>
      <c r="O23" s="42">
        <v>8</v>
      </c>
      <c r="P23" s="36"/>
      <c r="Q23" s="36"/>
      <c r="R23" s="36"/>
      <c r="S23" s="541"/>
      <c r="T23" s="507"/>
      <c r="U23" s="507"/>
      <c r="V23" s="652"/>
      <c r="W23" s="652"/>
      <c r="X23" s="36"/>
      <c r="Y23" s="36"/>
      <c r="Z23" s="186"/>
      <c r="AA23" s="80"/>
      <c r="AB23" s="80"/>
      <c r="AC23" s="80"/>
      <c r="AD23" s="80"/>
      <c r="AE23" s="80"/>
      <c r="AF23" s="80"/>
      <c r="AG23" s="17"/>
      <c r="AH23" s="17"/>
    </row>
    <row r="24" spans="1:34" ht="18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8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186"/>
      <c r="AA24" s="80"/>
      <c r="AB24" s="80"/>
      <c r="AC24" s="80"/>
      <c r="AD24" s="80"/>
      <c r="AE24" s="80"/>
      <c r="AF24" s="80"/>
      <c r="AG24" s="17"/>
      <c r="AH24" s="17"/>
    </row>
    <row r="25" spans="1:34" ht="18" customHeight="1">
      <c r="A25" s="36"/>
      <c r="B25" s="36"/>
      <c r="C25" s="36" t="s">
        <v>305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9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186"/>
      <c r="AA25" s="80"/>
      <c r="AB25" s="80"/>
      <c r="AC25" s="80"/>
      <c r="AD25" s="80"/>
      <c r="AE25" s="80"/>
      <c r="AF25" s="80"/>
      <c r="AG25" s="17"/>
      <c r="AH25" s="17"/>
    </row>
    <row r="26" spans="1:34" ht="18" customHeight="1">
      <c r="A26" s="36"/>
      <c r="B26" s="36"/>
      <c r="C26" s="36"/>
      <c r="D26" s="541" t="s">
        <v>519</v>
      </c>
      <c r="E26" s="541" t="s">
        <v>111</v>
      </c>
      <c r="F26" s="516" t="s">
        <v>306</v>
      </c>
      <c r="G26" s="516"/>
      <c r="H26" s="541" t="s">
        <v>0</v>
      </c>
      <c r="I26" s="500">
        <f>$T$22*1000</f>
        <v>924000</v>
      </c>
      <c r="J26" s="500"/>
      <c r="K26" s="500"/>
      <c r="L26" s="541" t="s">
        <v>0</v>
      </c>
      <c r="M26" s="507">
        <f>$I$26/$I$27</f>
        <v>46</v>
      </c>
      <c r="N26" s="507"/>
      <c r="O26" s="518" t="s">
        <v>307</v>
      </c>
      <c r="P26" s="518"/>
      <c r="Q26" s="541" t="str">
        <f>IF($M$26&lt;=$T$26,"＜","＞")</f>
        <v>＜</v>
      </c>
      <c r="R26" s="519" t="s">
        <v>308</v>
      </c>
      <c r="S26" s="519"/>
      <c r="T26" s="544">
        <f>'使用材一覧'!$P$17</f>
        <v>165</v>
      </c>
      <c r="U26" s="544"/>
      <c r="V26" s="656" t="s">
        <v>309</v>
      </c>
      <c r="W26" s="656"/>
      <c r="X26" s="517">
        <f>IF($M$26&lt;=$T$26,"","NG")</f>
      </c>
      <c r="Y26" s="517"/>
      <c r="Z26" s="517"/>
      <c r="AA26" s="517"/>
      <c r="AB26" s="80"/>
      <c r="AC26" s="80"/>
      <c r="AD26" s="80"/>
      <c r="AE26" s="80"/>
      <c r="AF26" s="80"/>
      <c r="AG26" s="17"/>
      <c r="AH26" s="17"/>
    </row>
    <row r="27" spans="1:34" ht="18" customHeight="1">
      <c r="A27" s="36"/>
      <c r="B27" s="36"/>
      <c r="C27" s="36"/>
      <c r="D27" s="541"/>
      <c r="E27" s="541"/>
      <c r="F27" s="541" t="s">
        <v>315</v>
      </c>
      <c r="G27" s="541"/>
      <c r="H27" s="541"/>
      <c r="I27" s="507">
        <f>'使用材一覧'!$P$15</f>
        <v>20100</v>
      </c>
      <c r="J27" s="507"/>
      <c r="K27" s="507"/>
      <c r="L27" s="541"/>
      <c r="M27" s="507"/>
      <c r="N27" s="507"/>
      <c r="O27" s="518"/>
      <c r="P27" s="518"/>
      <c r="Q27" s="541"/>
      <c r="R27" s="519"/>
      <c r="S27" s="519"/>
      <c r="T27" s="544"/>
      <c r="U27" s="544"/>
      <c r="V27" s="656"/>
      <c r="W27" s="656"/>
      <c r="X27" s="517"/>
      <c r="Y27" s="517"/>
      <c r="Z27" s="517"/>
      <c r="AA27" s="517"/>
      <c r="AB27" s="80"/>
      <c r="AC27" s="80"/>
      <c r="AD27" s="80"/>
      <c r="AE27" s="80"/>
      <c r="AF27" s="80"/>
      <c r="AG27" s="17"/>
      <c r="AH27" s="17"/>
    </row>
    <row r="28" spans="1:34" ht="18" customHeight="1">
      <c r="A28" s="36"/>
      <c r="B28" s="36"/>
      <c r="C28" s="36"/>
      <c r="D28" s="36"/>
      <c r="E28" s="36"/>
      <c r="F28" s="80"/>
      <c r="G28" s="41"/>
      <c r="H28" s="36"/>
      <c r="I28" s="36"/>
      <c r="J28" s="80"/>
      <c r="K28" s="49"/>
      <c r="L28" s="36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17"/>
      <c r="AH28" s="17"/>
    </row>
    <row r="29" spans="1:34" ht="18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17"/>
      <c r="AH29" s="17"/>
    </row>
    <row r="30" spans="1:34" ht="18" customHeight="1">
      <c r="A30" s="36"/>
      <c r="B30" s="36"/>
      <c r="C30" s="36" t="s">
        <v>15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186"/>
      <c r="AA30" s="80"/>
      <c r="AB30" s="80"/>
      <c r="AC30" s="80"/>
      <c r="AD30" s="80"/>
      <c r="AE30" s="80"/>
      <c r="AF30" s="80"/>
      <c r="AG30" s="17"/>
      <c r="AH30" s="17"/>
    </row>
    <row r="31" spans="1:34" ht="18" customHeight="1">
      <c r="A31" s="36"/>
      <c r="B31" s="36"/>
      <c r="C31" s="36"/>
      <c r="D31" s="36"/>
      <c r="E31" s="36"/>
      <c r="F31" s="36"/>
      <c r="G31" s="36"/>
      <c r="H31" s="201"/>
      <c r="I31" s="201"/>
      <c r="J31" s="201"/>
      <c r="K31" s="201"/>
      <c r="L31" s="201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186"/>
      <c r="AA31" s="80"/>
      <c r="AB31" s="80"/>
      <c r="AC31" s="80"/>
      <c r="AD31" s="80"/>
      <c r="AE31" s="80"/>
      <c r="AF31" s="80"/>
      <c r="AG31" s="17"/>
      <c r="AH31" s="17"/>
    </row>
    <row r="32" spans="1:34" ht="18" customHeight="1">
      <c r="A32" s="36"/>
      <c r="B32" s="36"/>
      <c r="C32" s="36"/>
      <c r="D32" s="541" t="s">
        <v>528</v>
      </c>
      <c r="E32" s="541" t="s">
        <v>111</v>
      </c>
      <c r="F32" s="516" t="s">
        <v>524</v>
      </c>
      <c r="G32" s="516"/>
      <c r="H32" s="516"/>
      <c r="I32" s="541" t="s">
        <v>12</v>
      </c>
      <c r="J32" s="573" t="s">
        <v>526</v>
      </c>
      <c r="K32" s="573"/>
      <c r="L32" s="573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186"/>
      <c r="AA32" s="80"/>
      <c r="AB32" s="80"/>
      <c r="AC32" s="80"/>
      <c r="AD32" s="80"/>
      <c r="AE32" s="80"/>
      <c r="AF32" s="80"/>
      <c r="AG32" s="17"/>
      <c r="AH32" s="17"/>
    </row>
    <row r="33" spans="1:34" ht="18" customHeight="1">
      <c r="A33" s="36"/>
      <c r="B33" s="36"/>
      <c r="C33" s="36"/>
      <c r="D33" s="541"/>
      <c r="E33" s="541"/>
      <c r="F33" s="541" t="s">
        <v>525</v>
      </c>
      <c r="G33" s="541"/>
      <c r="H33" s="541"/>
      <c r="I33" s="541"/>
      <c r="J33" s="541" t="s">
        <v>527</v>
      </c>
      <c r="K33" s="541"/>
      <c r="L33" s="541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186"/>
      <c r="AA33" s="80"/>
      <c r="AB33" s="80"/>
      <c r="AC33" s="80"/>
      <c r="AD33" s="80"/>
      <c r="AE33" s="80"/>
      <c r="AF33" s="80"/>
      <c r="AG33" s="17"/>
      <c r="AH33" s="17"/>
    </row>
    <row r="34" spans="1:34" ht="18" customHeight="1">
      <c r="A34" s="36"/>
      <c r="B34" s="36"/>
      <c r="C34" s="36"/>
      <c r="D34" s="41"/>
      <c r="E34" s="36"/>
      <c r="F34" s="80"/>
      <c r="G34" s="36"/>
      <c r="H34" s="36"/>
      <c r="I34" s="36"/>
      <c r="J34" s="80"/>
      <c r="K34" s="41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186"/>
      <c r="AA34" s="80"/>
      <c r="AB34" s="80"/>
      <c r="AC34" s="80"/>
      <c r="AD34" s="80"/>
      <c r="AE34" s="80"/>
      <c r="AF34" s="80"/>
      <c r="AG34" s="17"/>
      <c r="AH34" s="17"/>
    </row>
    <row r="35" spans="1:34" ht="18" customHeight="1">
      <c r="A35" s="36"/>
      <c r="B35" s="36"/>
      <c r="C35" s="36"/>
      <c r="D35" s="41"/>
      <c r="E35" s="541" t="s">
        <v>111</v>
      </c>
      <c r="F35" s="640">
        <f>$W$12</f>
        <v>1860</v>
      </c>
      <c r="G35" s="503"/>
      <c r="H35" s="503"/>
      <c r="I35" s="40" t="s">
        <v>1</v>
      </c>
      <c r="J35" s="640">
        <f>$M$9</f>
        <v>1800</v>
      </c>
      <c r="K35" s="640"/>
      <c r="L35" s="641"/>
      <c r="M35" s="218" t="s">
        <v>316</v>
      </c>
      <c r="N35" s="208"/>
      <c r="O35" s="541" t="s">
        <v>12</v>
      </c>
      <c r="P35" s="516">
        <v>5</v>
      </c>
      <c r="Q35" s="516"/>
      <c r="R35" s="40" t="s">
        <v>1</v>
      </c>
      <c r="S35" s="647">
        <f>$W$16/1000</f>
        <v>0.216</v>
      </c>
      <c r="T35" s="647"/>
      <c r="U35" s="516"/>
      <c r="V35" s="40" t="s">
        <v>1</v>
      </c>
      <c r="W35" s="640">
        <f>$M$9</f>
        <v>1800</v>
      </c>
      <c r="X35" s="640"/>
      <c r="Y35" s="503"/>
      <c r="Z35" s="218" t="s">
        <v>317</v>
      </c>
      <c r="AA35" s="80"/>
      <c r="AB35" s="80"/>
      <c r="AC35" s="80"/>
      <c r="AD35" s="80"/>
      <c r="AE35" s="80"/>
      <c r="AF35" s="80"/>
      <c r="AG35" s="17"/>
      <c r="AH35" s="17"/>
    </row>
    <row r="36" spans="1:34" ht="18" customHeight="1">
      <c r="A36" s="36"/>
      <c r="B36" s="36"/>
      <c r="C36" s="36"/>
      <c r="D36" s="41"/>
      <c r="E36" s="541"/>
      <c r="F36" s="36">
        <v>48</v>
      </c>
      <c r="G36" s="36" t="s">
        <v>318</v>
      </c>
      <c r="H36" s="544">
        <f>'使用材一覧'!$P$16</f>
        <v>200000</v>
      </c>
      <c r="I36" s="544"/>
      <c r="J36" s="544"/>
      <c r="K36" s="41" t="s">
        <v>1</v>
      </c>
      <c r="L36" s="544">
        <f>'使用材一覧'!$P$14</f>
        <v>755000</v>
      </c>
      <c r="M36" s="544"/>
      <c r="N36" s="544"/>
      <c r="O36" s="541"/>
      <c r="P36" s="541">
        <v>384</v>
      </c>
      <c r="Q36" s="541"/>
      <c r="R36" s="41" t="s">
        <v>1</v>
      </c>
      <c r="S36" s="544">
        <f>$H$36</f>
        <v>200000</v>
      </c>
      <c r="T36" s="544"/>
      <c r="U36" s="544"/>
      <c r="V36" s="41" t="s">
        <v>1</v>
      </c>
      <c r="W36" s="646">
        <f>$L$36</f>
        <v>755000</v>
      </c>
      <c r="X36" s="646"/>
      <c r="Y36" s="646"/>
      <c r="Z36" s="186"/>
      <c r="AA36" s="80"/>
      <c r="AB36" s="80"/>
      <c r="AC36" s="80"/>
      <c r="AD36" s="80"/>
      <c r="AE36" s="80"/>
      <c r="AF36" s="80"/>
      <c r="AG36" s="17"/>
      <c r="AH36" s="17"/>
    </row>
    <row r="37" spans="1:34" ht="18" customHeight="1">
      <c r="A37" s="36"/>
      <c r="B37" s="36"/>
      <c r="C37" s="36"/>
      <c r="D37" s="41"/>
      <c r="E37" s="41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186"/>
      <c r="AA37" s="80"/>
      <c r="AB37" s="80"/>
      <c r="AC37" s="80"/>
      <c r="AD37" s="80"/>
      <c r="AE37" s="80"/>
      <c r="AF37" s="80"/>
      <c r="AG37" s="17"/>
      <c r="AH37" s="17"/>
    </row>
    <row r="38" spans="1:34" ht="18" customHeight="1">
      <c r="A38" s="36"/>
      <c r="B38" s="36"/>
      <c r="C38" s="36"/>
      <c r="D38" s="41"/>
      <c r="E38" s="42" t="s">
        <v>111</v>
      </c>
      <c r="F38" s="507">
        <f>G35*J35^3/(F36*H36*L36)+P35*S35*W35^4/(P36*S36*W36)</f>
        <v>0</v>
      </c>
      <c r="G38" s="507"/>
      <c r="H38" s="36" t="s">
        <v>319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186"/>
      <c r="AA38" s="80"/>
      <c r="AB38" s="80"/>
      <c r="AC38" s="80"/>
      <c r="AD38" s="80"/>
      <c r="AE38" s="80"/>
      <c r="AF38" s="80"/>
      <c r="AG38" s="17"/>
      <c r="AH38" s="17"/>
    </row>
    <row r="39" spans="1:34" ht="13.5">
      <c r="A39" s="80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80"/>
      <c r="AD39" s="80"/>
      <c r="AE39" s="80"/>
      <c r="AF39" s="80"/>
      <c r="AG39" s="17"/>
      <c r="AH39" s="17"/>
    </row>
    <row r="40" spans="1:34" ht="13.5">
      <c r="A40" s="80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80"/>
      <c r="AD40" s="80"/>
      <c r="AE40" s="80"/>
      <c r="AF40" s="80"/>
      <c r="AG40" s="17"/>
      <c r="AH40" s="17"/>
    </row>
    <row r="41" spans="1:34" ht="13.5">
      <c r="A41" s="80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80"/>
      <c r="AD41" s="80"/>
      <c r="AE41" s="80"/>
      <c r="AF41" s="80"/>
      <c r="AG41" s="17"/>
      <c r="AH41" s="17"/>
    </row>
    <row r="42" spans="1:34" ht="13.5">
      <c r="A42" s="80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80"/>
      <c r="AD42" s="80"/>
      <c r="AE42" s="80"/>
      <c r="AF42" s="80"/>
      <c r="AG42" s="17"/>
      <c r="AH42" s="17"/>
    </row>
    <row r="43" spans="1:34" ht="13.5">
      <c r="A43" s="80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80"/>
      <c r="AD43" s="80"/>
      <c r="AE43" s="80"/>
      <c r="AF43" s="80"/>
      <c r="AG43" s="17"/>
      <c r="AH43" s="17"/>
    </row>
    <row r="44" spans="1:34" ht="13.5">
      <c r="A44" s="80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80"/>
      <c r="AD44" s="80"/>
      <c r="AE44" s="80"/>
      <c r="AF44" s="80"/>
      <c r="AG44" s="17"/>
      <c r="AH44" s="17"/>
    </row>
    <row r="45" spans="1:34" ht="13.5">
      <c r="A45" s="80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80"/>
      <c r="AD45" s="80"/>
      <c r="AE45" s="80"/>
      <c r="AF45" s="80"/>
      <c r="AG45" s="17"/>
      <c r="AH45" s="17"/>
    </row>
    <row r="46" spans="1:34" ht="13.5">
      <c r="A46" s="80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80"/>
      <c r="AD46" s="80"/>
      <c r="AE46" s="80"/>
      <c r="AF46" s="80"/>
      <c r="AG46" s="17"/>
      <c r="AH46" s="17"/>
    </row>
    <row r="47" spans="1:34" ht="13.5">
      <c r="A47" s="80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80"/>
      <c r="AD47" s="80"/>
      <c r="AE47" s="80"/>
      <c r="AF47" s="80"/>
      <c r="AG47" s="17"/>
      <c r="AH47" s="17"/>
    </row>
    <row r="48" spans="1:34" ht="13.5">
      <c r="A48" s="17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17"/>
      <c r="AD48" s="17"/>
      <c r="AE48" s="17"/>
      <c r="AF48" s="17"/>
      <c r="AG48" s="17"/>
      <c r="AH48" s="17"/>
    </row>
    <row r="49" spans="1:34" ht="13.5">
      <c r="A49" s="17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17"/>
      <c r="AD49" s="17"/>
      <c r="AE49" s="17"/>
      <c r="AF49" s="17"/>
      <c r="AG49" s="17"/>
      <c r="AH49" s="17"/>
    </row>
    <row r="50" spans="1:34" ht="13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219"/>
      <c r="AC50" s="17"/>
      <c r="AD50" s="17"/>
      <c r="AE50" s="17"/>
      <c r="AF50" s="17"/>
      <c r="AG50" s="17"/>
      <c r="AH50" s="17"/>
    </row>
    <row r="51" spans="1:34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219"/>
      <c r="AC51" s="17"/>
      <c r="AD51" s="17"/>
      <c r="AE51" s="17"/>
      <c r="AF51" s="17"/>
      <c r="AG51" s="17"/>
      <c r="AH51" s="17"/>
    </row>
    <row r="52" spans="1:34" ht="13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</sheetData>
  <sheetProtection sheet="1" objects="1" scenarios="1"/>
  <mergeCells count="58">
    <mergeCell ref="X26:AA27"/>
    <mergeCell ref="O26:P27"/>
    <mergeCell ref="Q26:Q27"/>
    <mergeCell ref="R26:S27"/>
    <mergeCell ref="V26:W27"/>
    <mergeCell ref="W12:Y12"/>
    <mergeCell ref="W14:Y14"/>
    <mergeCell ref="W15:Y15"/>
    <mergeCell ref="T22:U23"/>
    <mergeCell ref="V22:W23"/>
    <mergeCell ref="S15:T15"/>
    <mergeCell ref="W16:Y16"/>
    <mergeCell ref="S22:S23"/>
    <mergeCell ref="F27:G27"/>
    <mergeCell ref="H26:H27"/>
    <mergeCell ref="I27:K27"/>
    <mergeCell ref="H36:J36"/>
    <mergeCell ref="F32:H32"/>
    <mergeCell ref="I32:I33"/>
    <mergeCell ref="J32:L32"/>
    <mergeCell ref="F33:H33"/>
    <mergeCell ref="J33:L33"/>
    <mergeCell ref="F35:H35"/>
    <mergeCell ref="F22:H22"/>
    <mergeCell ref="W35:Y35"/>
    <mergeCell ref="H19:H20"/>
    <mergeCell ref="I19:J19"/>
    <mergeCell ref="I20:J20"/>
    <mergeCell ref="F19:G19"/>
    <mergeCell ref="F20:G20"/>
    <mergeCell ref="L22:L23"/>
    <mergeCell ref="F26:G26"/>
    <mergeCell ref="T26:U27"/>
    <mergeCell ref="W36:Y36"/>
    <mergeCell ref="S36:U36"/>
    <mergeCell ref="P35:Q35"/>
    <mergeCell ref="S35:U35"/>
    <mergeCell ref="M3:N3"/>
    <mergeCell ref="N15:O15"/>
    <mergeCell ref="M22:N22"/>
    <mergeCell ref="M9:O9"/>
    <mergeCell ref="F38:G38"/>
    <mergeCell ref="L36:N36"/>
    <mergeCell ref="O35:O36"/>
    <mergeCell ref="P36:Q36"/>
    <mergeCell ref="J35:L35"/>
    <mergeCell ref="P22:Q22"/>
    <mergeCell ref="J22:K22"/>
    <mergeCell ref="L26:L27"/>
    <mergeCell ref="I26:K26"/>
    <mergeCell ref="M26:N27"/>
    <mergeCell ref="D32:D33"/>
    <mergeCell ref="E32:E33"/>
    <mergeCell ref="E35:E36"/>
    <mergeCell ref="D19:D20"/>
    <mergeCell ref="E19:E20"/>
    <mergeCell ref="D26:D27"/>
    <mergeCell ref="E26:E27"/>
  </mergeCells>
  <printOptions/>
  <pageMargins left="0.62" right="0.3937007874015748" top="0.7874015748031497" bottom="0.3937007874015748" header="0" footer="0.11811023622047245"/>
  <pageSetup horizontalDpi="300" verticalDpi="300" orientation="portrait" paperSize="9" r:id="rId2"/>
  <headerFooter alignWithMargins="0">
    <oddFooter>&amp;L&amp;6&amp;F5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1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9" width="3.09765625" style="1" customWidth="1"/>
    <col min="10" max="12" width="4" style="1" customWidth="1"/>
    <col min="13" max="14" width="3.09765625" style="1" customWidth="1"/>
    <col min="15" max="15" width="3.8984375" style="1" customWidth="1"/>
    <col min="16" max="25" width="3.09765625" style="1" customWidth="1"/>
    <col min="26" max="26" width="3.19921875" style="1" customWidth="1"/>
    <col min="27" max="27" width="3" style="1" customWidth="1"/>
    <col min="28" max="28" width="2.8984375" style="1" customWidth="1"/>
    <col min="29" max="30" width="3.09765625" style="1" customWidth="1"/>
    <col min="31" max="16384" width="4.69921875" style="1" customWidth="1"/>
  </cols>
  <sheetData>
    <row r="1" spans="1:36" ht="18" customHeight="1">
      <c r="A1" s="36"/>
      <c r="B1" s="482" t="s">
        <v>801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80"/>
      <c r="AF1" s="80"/>
      <c r="AG1" s="17"/>
      <c r="AH1" s="17"/>
      <c r="AI1" s="17"/>
      <c r="AJ1" s="17"/>
    </row>
    <row r="2" spans="1:36" ht="18" customHeight="1">
      <c r="A2" s="36"/>
      <c r="B2" s="36"/>
      <c r="C2" s="8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80"/>
      <c r="AF2" s="80"/>
      <c r="AG2" s="17"/>
      <c r="AH2" s="17"/>
      <c r="AI2" s="17"/>
      <c r="AJ2" s="17"/>
    </row>
    <row r="3" spans="1:36" ht="18" customHeight="1">
      <c r="A3" s="36"/>
      <c r="B3" s="36"/>
      <c r="C3" s="82"/>
      <c r="D3" s="36"/>
      <c r="E3" s="36" t="s">
        <v>19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670">
        <v>1000</v>
      </c>
      <c r="R3" s="671"/>
      <c r="S3" s="671"/>
      <c r="T3" s="36" t="s">
        <v>32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80"/>
      <c r="AF3" s="80"/>
      <c r="AG3" s="17"/>
      <c r="AH3" s="17"/>
      <c r="AI3" s="17"/>
      <c r="AJ3" s="17"/>
    </row>
    <row r="4" spans="1:36" ht="18" customHeight="1">
      <c r="A4" s="36"/>
      <c r="B4" s="36"/>
      <c r="C4" s="82"/>
      <c r="D4" s="36"/>
      <c r="E4" s="36" t="s">
        <v>20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667">
        <f>ころばし!$M$9</f>
        <v>1800</v>
      </c>
      <c r="R4" s="519"/>
      <c r="S4" s="519"/>
      <c r="T4" s="36" t="s">
        <v>32</v>
      </c>
      <c r="U4" s="36" t="s">
        <v>21</v>
      </c>
      <c r="V4" s="36"/>
      <c r="W4" s="36"/>
      <c r="X4" s="36"/>
      <c r="Y4" s="36"/>
      <c r="Z4" s="36"/>
      <c r="AA4" s="36"/>
      <c r="AB4" s="36"/>
      <c r="AC4" s="36"/>
      <c r="AD4" s="36"/>
      <c r="AE4" s="80"/>
      <c r="AF4" s="80"/>
      <c r="AG4" s="17"/>
      <c r="AH4" s="17"/>
      <c r="AI4" s="17"/>
      <c r="AJ4" s="17"/>
    </row>
    <row r="5" spans="1:36" ht="18" customHeight="1">
      <c r="A5" s="36"/>
      <c r="B5" s="36"/>
      <c r="C5" s="82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89"/>
      <c r="R5" s="206"/>
      <c r="S5" s="20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80"/>
      <c r="AF5" s="80"/>
      <c r="AG5" s="17"/>
      <c r="AH5" s="17"/>
      <c r="AI5" s="17"/>
      <c r="AJ5" s="17"/>
    </row>
    <row r="6" spans="1:36" ht="18" customHeight="1">
      <c r="A6" s="36"/>
      <c r="B6" s="36"/>
      <c r="C6" s="82"/>
      <c r="D6" s="36"/>
      <c r="E6" s="36"/>
      <c r="F6" s="36"/>
      <c r="G6" s="36"/>
      <c r="H6" s="36"/>
      <c r="I6" s="36"/>
      <c r="J6" s="36"/>
      <c r="K6" s="36"/>
      <c r="L6" s="36"/>
      <c r="M6" s="36"/>
      <c r="N6" s="579">
        <f>'足場板'!$M$56</f>
        <v>800</v>
      </c>
      <c r="O6" s="579"/>
      <c r="P6" s="579"/>
      <c r="Q6" s="579">
        <f>'足場板'!$M$56</f>
        <v>800</v>
      </c>
      <c r="R6" s="579"/>
      <c r="S6" s="579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80"/>
      <c r="AF6" s="80"/>
      <c r="AG6" s="17"/>
      <c r="AH6" s="17"/>
      <c r="AI6" s="17"/>
      <c r="AJ6" s="17"/>
    </row>
    <row r="7" spans="1:36" ht="18" customHeight="1">
      <c r="A7" s="36"/>
      <c r="B7" s="36"/>
      <c r="C7" s="8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37"/>
      <c r="T7" s="36"/>
      <c r="U7" s="36"/>
      <c r="V7" s="220" t="s">
        <v>18</v>
      </c>
      <c r="W7" s="220"/>
      <c r="X7" s="220"/>
      <c r="Y7" s="36"/>
      <c r="Z7" s="36"/>
      <c r="AA7" s="36"/>
      <c r="AB7" s="36"/>
      <c r="AC7" s="36"/>
      <c r="AD7" s="36"/>
      <c r="AE7" s="80"/>
      <c r="AF7" s="80"/>
      <c r="AG7" s="17"/>
      <c r="AH7" s="17"/>
      <c r="AI7" s="17"/>
      <c r="AJ7" s="17"/>
    </row>
    <row r="8" spans="1:36" ht="18" customHeight="1">
      <c r="A8" s="36"/>
      <c r="B8" s="36"/>
      <c r="C8" s="8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7"/>
      <c r="T8" s="36"/>
      <c r="U8" s="36"/>
      <c r="V8" s="36"/>
      <c r="W8" s="36"/>
      <c r="X8" s="36"/>
      <c r="Y8" s="220"/>
      <c r="Z8" s="36"/>
      <c r="AA8" s="36"/>
      <c r="AB8" s="36"/>
      <c r="AC8" s="36"/>
      <c r="AD8" s="36"/>
      <c r="AE8" s="80"/>
      <c r="AF8" s="80"/>
      <c r="AG8" s="17"/>
      <c r="AH8" s="17"/>
      <c r="AI8" s="17"/>
      <c r="AJ8" s="17"/>
    </row>
    <row r="9" spans="1:36" ht="18" customHeight="1">
      <c r="A9" s="36"/>
      <c r="B9" s="36"/>
      <c r="C9" s="82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S9" s="3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80"/>
      <c r="AF9" s="80"/>
      <c r="AG9" s="17"/>
      <c r="AH9" s="17"/>
      <c r="AI9" s="17"/>
      <c r="AJ9" s="17"/>
    </row>
    <row r="10" spans="1:36" ht="18" customHeight="1">
      <c r="A10" s="36"/>
      <c r="B10" s="36"/>
      <c r="C10" s="82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80"/>
      <c r="AA10" s="36"/>
      <c r="AB10" s="80"/>
      <c r="AC10" s="36"/>
      <c r="AD10" s="36"/>
      <c r="AE10" s="80"/>
      <c r="AF10" s="80"/>
      <c r="AG10" s="17"/>
      <c r="AH10" s="17"/>
      <c r="AI10" s="17"/>
      <c r="AJ10" s="17"/>
    </row>
    <row r="11" spans="1:36" ht="18" customHeight="1">
      <c r="A11" s="36"/>
      <c r="B11" s="36"/>
      <c r="C11" s="82"/>
      <c r="D11" s="36"/>
      <c r="E11" s="36"/>
      <c r="F11" s="36"/>
      <c r="G11" s="36"/>
      <c r="H11" s="36"/>
      <c r="I11" s="158" t="s">
        <v>22</v>
      </c>
      <c r="J11" s="36"/>
      <c r="K11" s="36"/>
      <c r="L11" s="36"/>
      <c r="M11" s="36"/>
      <c r="N11" s="36"/>
      <c r="O11" s="36"/>
      <c r="P11" s="36"/>
      <c r="Q11" s="36"/>
      <c r="R11" s="36"/>
      <c r="S11" s="41"/>
      <c r="T11" s="36"/>
      <c r="U11" s="36"/>
      <c r="V11" s="36"/>
      <c r="W11" s="36"/>
      <c r="X11" s="672">
        <f>$Q$4</f>
        <v>1800</v>
      </c>
      <c r="Y11" s="36"/>
      <c r="Z11" s="36"/>
      <c r="AA11" s="36"/>
      <c r="AB11" s="36"/>
      <c r="AC11" s="36"/>
      <c r="AD11" s="36"/>
      <c r="AE11" s="80"/>
      <c r="AF11" s="80"/>
      <c r="AG11" s="17"/>
      <c r="AH11" s="17"/>
      <c r="AI11" s="17"/>
      <c r="AJ11" s="17"/>
    </row>
    <row r="12" spans="1:36" ht="18" customHeight="1">
      <c r="A12" s="36"/>
      <c r="B12" s="36"/>
      <c r="C12" s="82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673"/>
      <c r="Y12" s="37"/>
      <c r="Z12" s="79"/>
      <c r="AA12" s="36"/>
      <c r="AB12" s="579"/>
      <c r="AC12" s="579"/>
      <c r="AD12" s="36"/>
      <c r="AE12" s="80"/>
      <c r="AF12" s="80"/>
      <c r="AG12" s="17"/>
      <c r="AH12" s="17"/>
      <c r="AI12" s="17"/>
      <c r="AJ12" s="17"/>
    </row>
    <row r="13" spans="1:36" ht="18" customHeight="1">
      <c r="A13" s="36"/>
      <c r="B13" s="36"/>
      <c r="C13" s="8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 t="s">
        <v>86</v>
      </c>
      <c r="T13" s="36"/>
      <c r="U13" s="36"/>
      <c r="V13" s="36"/>
      <c r="W13" s="36"/>
      <c r="X13" s="673"/>
      <c r="Y13" s="36"/>
      <c r="Z13" s="36"/>
      <c r="AA13" s="36"/>
      <c r="AB13" s="36"/>
      <c r="AC13" s="36"/>
      <c r="AD13" s="36"/>
      <c r="AE13" s="36"/>
      <c r="AF13" s="80"/>
      <c r="AG13" s="17"/>
      <c r="AH13" s="17"/>
      <c r="AI13" s="17"/>
      <c r="AJ13" s="17"/>
    </row>
    <row r="14" spans="1:36" ht="18" customHeight="1">
      <c r="A14" s="36"/>
      <c r="B14" s="36"/>
      <c r="C14" s="82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80"/>
      <c r="AG14" s="17"/>
      <c r="AH14" s="17"/>
      <c r="AI14" s="17"/>
      <c r="AJ14" s="17"/>
    </row>
    <row r="15" spans="1:36" ht="18" customHeight="1">
      <c r="A15" s="36"/>
      <c r="B15" s="36"/>
      <c r="C15" s="8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80"/>
      <c r="AG15" s="17"/>
      <c r="AH15" s="17"/>
      <c r="AI15" s="17"/>
      <c r="AJ15" s="17"/>
    </row>
    <row r="16" spans="1:36" ht="18" customHeight="1">
      <c r="A16" s="36"/>
      <c r="B16" s="36"/>
      <c r="C16" s="8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672">
        <f>$Q$4</f>
        <v>1800</v>
      </c>
      <c r="Y16" s="36"/>
      <c r="Z16" s="36"/>
      <c r="AA16" s="36"/>
      <c r="AB16" s="36"/>
      <c r="AC16" s="36"/>
      <c r="AD16" s="36"/>
      <c r="AE16" s="36"/>
      <c r="AF16" s="80"/>
      <c r="AG16" s="17"/>
      <c r="AH16" s="17"/>
      <c r="AI16" s="17"/>
      <c r="AJ16" s="17"/>
    </row>
    <row r="17" spans="1:36" ht="18" customHeight="1">
      <c r="A17" s="36"/>
      <c r="B17" s="36"/>
      <c r="C17" s="8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673"/>
      <c r="Y17" s="37"/>
      <c r="Z17" s="79"/>
      <c r="AA17" s="36"/>
      <c r="AB17" s="36"/>
      <c r="AC17" s="36"/>
      <c r="AD17" s="36"/>
      <c r="AE17" s="80"/>
      <c r="AF17" s="80"/>
      <c r="AG17" s="17"/>
      <c r="AH17" s="17"/>
      <c r="AI17" s="17"/>
      <c r="AJ17" s="17"/>
    </row>
    <row r="18" spans="1:36" ht="18" customHeight="1">
      <c r="A18" s="36"/>
      <c r="B18" s="36"/>
      <c r="C18" s="8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673"/>
      <c r="Y18" s="36"/>
      <c r="Z18" s="36"/>
      <c r="AA18" s="36"/>
      <c r="AB18" s="50"/>
      <c r="AC18" s="36"/>
      <c r="AD18" s="36"/>
      <c r="AE18" s="80"/>
      <c r="AF18" s="80"/>
      <c r="AG18" s="17"/>
      <c r="AH18" s="17"/>
      <c r="AI18" s="17"/>
      <c r="AJ18" s="17"/>
    </row>
    <row r="19" spans="1:36" ht="18" customHeight="1">
      <c r="A19" s="36"/>
      <c r="B19" s="36"/>
      <c r="C19" s="8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80"/>
      <c r="AF19" s="80"/>
      <c r="AG19" s="17"/>
      <c r="AH19" s="17"/>
      <c r="AI19" s="17"/>
      <c r="AJ19" s="17"/>
    </row>
    <row r="20" spans="1:36" ht="18" customHeight="1">
      <c r="A20" s="36"/>
      <c r="B20" s="36"/>
      <c r="C20" s="8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80"/>
      <c r="AF20" s="80"/>
      <c r="AG20" s="17"/>
      <c r="AH20" s="17"/>
      <c r="AI20" s="17"/>
      <c r="AJ20" s="17"/>
    </row>
    <row r="21" spans="1:36" ht="18" customHeight="1">
      <c r="A21" s="36"/>
      <c r="B21" s="36"/>
      <c r="C21" s="8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 t="s">
        <v>320</v>
      </c>
      <c r="W21" s="36"/>
      <c r="X21" s="80"/>
      <c r="Y21" s="36"/>
      <c r="Z21" s="36"/>
      <c r="AA21" s="36"/>
      <c r="AB21" s="36"/>
      <c r="AC21" s="36"/>
      <c r="AD21" s="36"/>
      <c r="AE21" s="80"/>
      <c r="AF21" s="80"/>
      <c r="AG21" s="17"/>
      <c r="AH21" s="17"/>
      <c r="AI21" s="17"/>
      <c r="AJ21" s="17"/>
    </row>
    <row r="22" spans="1:36" ht="18" customHeight="1">
      <c r="A22" s="36"/>
      <c r="B22" s="36"/>
      <c r="C22" s="82"/>
      <c r="D22" s="36"/>
      <c r="E22" s="36"/>
      <c r="F22" s="36"/>
      <c r="G22" s="36"/>
      <c r="H22" s="36"/>
      <c r="I22" s="36"/>
      <c r="J22" s="36"/>
      <c r="K22" s="186"/>
      <c r="L22" s="186"/>
      <c r="M22" s="186"/>
      <c r="N22" s="186"/>
      <c r="O22" s="186"/>
      <c r="P22" s="36"/>
      <c r="Q22" s="28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80"/>
      <c r="AF22" s="80"/>
      <c r="AG22" s="17"/>
      <c r="AH22" s="17"/>
      <c r="AI22" s="17"/>
      <c r="AJ22" s="17"/>
    </row>
    <row r="23" spans="1:36" ht="18" customHeight="1">
      <c r="A23" s="36"/>
      <c r="B23" s="36"/>
      <c r="C23" s="8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80"/>
      <c r="AF23" s="80"/>
      <c r="AG23" s="17"/>
      <c r="AH23" s="17"/>
      <c r="AI23" s="17"/>
      <c r="AJ23" s="17"/>
    </row>
    <row r="24" spans="1:36" ht="18" customHeight="1">
      <c r="A24" s="36"/>
      <c r="B24" s="36"/>
      <c r="C24" s="36"/>
      <c r="D24" s="36" t="s">
        <v>9</v>
      </c>
      <c r="E24" s="36"/>
      <c r="F24" s="36"/>
      <c r="G24" s="36"/>
      <c r="H24" s="78" t="s">
        <v>89</v>
      </c>
      <c r="I24" s="36"/>
      <c r="J24" s="36"/>
      <c r="K24" s="36"/>
      <c r="L24" s="50"/>
      <c r="M24" s="50"/>
      <c r="N24" s="36"/>
      <c r="O24" s="36"/>
      <c r="P24" s="42"/>
      <c r="Q24" s="36"/>
      <c r="R24" s="36"/>
      <c r="S24" s="36"/>
      <c r="T24" s="42" t="s">
        <v>111</v>
      </c>
      <c r="U24" s="667">
        <f>'足場板'!$V$33</f>
        <v>1860</v>
      </c>
      <c r="V24" s="546"/>
      <c r="W24" s="546"/>
      <c r="X24" s="42" t="s">
        <v>92</v>
      </c>
      <c r="Y24" s="36"/>
      <c r="Z24" s="210"/>
      <c r="AA24" s="36"/>
      <c r="AB24" s="36"/>
      <c r="AC24" s="36"/>
      <c r="AD24" s="36"/>
      <c r="AE24" s="80"/>
      <c r="AF24" s="80"/>
      <c r="AG24" s="17"/>
      <c r="AH24" s="17"/>
      <c r="AI24" s="17"/>
      <c r="AJ24" s="17"/>
    </row>
    <row r="25" spans="1:36" ht="18" customHeight="1">
      <c r="A25" s="36"/>
      <c r="B25" s="36"/>
      <c r="C25" s="36"/>
      <c r="D25" s="36"/>
      <c r="E25" s="36"/>
      <c r="F25" s="36"/>
      <c r="G25" s="208"/>
      <c r="H25" s="221" t="s">
        <v>88</v>
      </c>
      <c r="I25" s="208"/>
      <c r="J25" s="208"/>
      <c r="K25" s="208"/>
      <c r="L25" s="222"/>
      <c r="M25" s="222"/>
      <c r="N25" s="665">
        <f>ころばし!$W$16</f>
        <v>216</v>
      </c>
      <c r="O25" s="666"/>
      <c r="P25" s="211" t="s">
        <v>1</v>
      </c>
      <c r="Q25" s="665">
        <f>$Q$4/1000</f>
        <v>1.8</v>
      </c>
      <c r="R25" s="665"/>
      <c r="S25" s="208"/>
      <c r="T25" s="211" t="s">
        <v>111</v>
      </c>
      <c r="U25" s="668">
        <f>$N$25*$Q$25</f>
        <v>389</v>
      </c>
      <c r="V25" s="669"/>
      <c r="W25" s="669"/>
      <c r="X25" s="211" t="s">
        <v>75</v>
      </c>
      <c r="Y25" s="36"/>
      <c r="Z25" s="210"/>
      <c r="AA25" s="36"/>
      <c r="AB25" s="36"/>
      <c r="AC25" s="36"/>
      <c r="AD25" s="36"/>
      <c r="AE25" s="80"/>
      <c r="AF25" s="80"/>
      <c r="AG25" s="17"/>
      <c r="AH25" s="17"/>
      <c r="AI25" s="17"/>
      <c r="AJ25" s="17"/>
    </row>
    <row r="26" spans="1:36" ht="18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53"/>
      <c r="L26" s="41"/>
      <c r="M26" s="41"/>
      <c r="N26" s="41"/>
      <c r="O26" s="36"/>
      <c r="P26" s="36"/>
      <c r="Q26" s="36"/>
      <c r="R26" s="36" t="s">
        <v>322</v>
      </c>
      <c r="S26" s="223"/>
      <c r="T26" s="42" t="s">
        <v>111</v>
      </c>
      <c r="U26" s="663">
        <f>$U$24+$U$25</f>
        <v>2249</v>
      </c>
      <c r="V26" s="664"/>
      <c r="W26" s="664"/>
      <c r="X26" s="42" t="s">
        <v>75</v>
      </c>
      <c r="Y26" s="36"/>
      <c r="Z26" s="36"/>
      <c r="AA26" s="36"/>
      <c r="AB26" s="51"/>
      <c r="AC26" s="82"/>
      <c r="AD26" s="36"/>
      <c r="AE26" s="80"/>
      <c r="AF26" s="80"/>
      <c r="AG26" s="17"/>
      <c r="AH26" s="17"/>
      <c r="AI26" s="17"/>
      <c r="AJ26" s="17"/>
    </row>
    <row r="27" spans="1:36" ht="18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53"/>
      <c r="L27" s="41"/>
      <c r="M27" s="41"/>
      <c r="N27" s="41"/>
      <c r="O27" s="36"/>
      <c r="P27" s="36"/>
      <c r="Q27" s="36"/>
      <c r="R27" s="36"/>
      <c r="S27" s="223"/>
      <c r="T27" s="41"/>
      <c r="U27" s="43"/>
      <c r="V27" s="167"/>
      <c r="W27" s="167"/>
      <c r="X27" s="42"/>
      <c r="Y27" s="36"/>
      <c r="Z27" s="36"/>
      <c r="AA27" s="36"/>
      <c r="AB27" s="51"/>
      <c r="AC27" s="82"/>
      <c r="AD27" s="36"/>
      <c r="AE27" s="80"/>
      <c r="AF27" s="80"/>
      <c r="AG27" s="17"/>
      <c r="AH27" s="17"/>
      <c r="AI27" s="17"/>
      <c r="AJ27" s="17"/>
    </row>
    <row r="28" spans="1:36" ht="18" customHeight="1">
      <c r="A28" s="36"/>
      <c r="B28" s="36"/>
      <c r="C28" s="82"/>
      <c r="D28" s="36" t="s">
        <v>8</v>
      </c>
      <c r="E28" s="36"/>
      <c r="F28" s="36"/>
      <c r="G28" s="36"/>
      <c r="H28" s="36" t="s">
        <v>300</v>
      </c>
      <c r="I28" s="36"/>
      <c r="J28" s="36"/>
      <c r="K28" s="36"/>
      <c r="L28" s="36"/>
      <c r="M28" s="36"/>
      <c r="N28" s="36"/>
      <c r="O28" s="36"/>
      <c r="P28" s="36"/>
      <c r="Q28" s="36"/>
      <c r="R28" s="36" t="s">
        <v>323</v>
      </c>
      <c r="S28" s="36"/>
      <c r="T28" s="42" t="s">
        <v>111</v>
      </c>
      <c r="U28" s="539">
        <f>'足場板'!$R$23</f>
        <v>93</v>
      </c>
      <c r="V28" s="539"/>
      <c r="W28" s="539"/>
      <c r="X28" s="36" t="s">
        <v>324</v>
      </c>
      <c r="Y28" s="36"/>
      <c r="Z28" s="36"/>
      <c r="AA28" s="36"/>
      <c r="AB28" s="36"/>
      <c r="AC28" s="36"/>
      <c r="AD28" s="36"/>
      <c r="AE28" s="80"/>
      <c r="AF28" s="80"/>
      <c r="AG28" s="17"/>
      <c r="AH28" s="17"/>
      <c r="AI28" s="17"/>
      <c r="AJ28" s="17"/>
    </row>
    <row r="29" spans="1:36" ht="18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53"/>
      <c r="L29" s="41"/>
      <c r="M29" s="41"/>
      <c r="N29" s="41"/>
      <c r="O29" s="36"/>
      <c r="P29" s="36"/>
      <c r="Q29" s="36"/>
      <c r="R29" s="36"/>
      <c r="S29" s="223"/>
      <c r="T29" s="41"/>
      <c r="U29" s="41"/>
      <c r="V29" s="43"/>
      <c r="W29" s="43"/>
      <c r="X29" s="42"/>
      <c r="Y29" s="36"/>
      <c r="Z29" s="36"/>
      <c r="AA29" s="36"/>
      <c r="AB29" s="51"/>
      <c r="AC29" s="82"/>
      <c r="AD29" s="36"/>
      <c r="AE29" s="80"/>
      <c r="AF29" s="80"/>
      <c r="AG29" s="17"/>
      <c r="AH29" s="17"/>
      <c r="AI29" s="17"/>
      <c r="AJ29" s="17"/>
    </row>
    <row r="30" spans="1:36" ht="18" customHeight="1">
      <c r="A30" s="36"/>
      <c r="B30" s="36"/>
      <c r="C30" s="36"/>
      <c r="D30" s="36" t="s">
        <v>304</v>
      </c>
      <c r="E30" s="36"/>
      <c r="F30" s="36"/>
      <c r="G30" s="36"/>
      <c r="H30" s="36"/>
      <c r="I30" s="36"/>
      <c r="J30" s="36"/>
      <c r="K30" s="217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80"/>
      <c r="AF30" s="80"/>
      <c r="AG30" s="17"/>
      <c r="AH30" s="17"/>
      <c r="AI30" s="17"/>
      <c r="AJ30" s="17"/>
    </row>
    <row r="31" spans="1:38" ht="18" customHeight="1">
      <c r="A31" s="36"/>
      <c r="B31" s="36"/>
      <c r="C31" s="36"/>
      <c r="D31" s="36"/>
      <c r="E31" s="541" t="s">
        <v>518</v>
      </c>
      <c r="F31" s="541" t="s">
        <v>111</v>
      </c>
      <c r="G31" s="573" t="s">
        <v>522</v>
      </c>
      <c r="H31" s="573"/>
      <c r="I31" s="541" t="s">
        <v>12</v>
      </c>
      <c r="J31" s="516" t="s">
        <v>523</v>
      </c>
      <c r="K31" s="51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80"/>
      <c r="AF31" s="186"/>
      <c r="AG31" s="219"/>
      <c r="AH31" s="219"/>
      <c r="AI31" s="219"/>
      <c r="AJ31" s="219"/>
      <c r="AK31" s="2"/>
      <c r="AL31" s="2"/>
    </row>
    <row r="32" spans="1:38" ht="18" customHeight="1">
      <c r="A32" s="36"/>
      <c r="B32" s="36"/>
      <c r="C32" s="36"/>
      <c r="D32" s="36"/>
      <c r="E32" s="541"/>
      <c r="F32" s="541"/>
      <c r="G32" s="541">
        <v>4</v>
      </c>
      <c r="H32" s="541"/>
      <c r="I32" s="541"/>
      <c r="J32" s="541">
        <v>8</v>
      </c>
      <c r="K32" s="541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80"/>
      <c r="AF32" s="186"/>
      <c r="AG32" s="224"/>
      <c r="AH32" s="219"/>
      <c r="AI32" s="225"/>
      <c r="AJ32" s="219"/>
      <c r="AK32" s="2"/>
      <c r="AL32" s="2"/>
    </row>
    <row r="33" spans="1:38" ht="18" customHeight="1">
      <c r="A33" s="36"/>
      <c r="B33" s="36"/>
      <c r="C33" s="36"/>
      <c r="D33" s="36"/>
      <c r="E33" s="36"/>
      <c r="F33" s="541" t="s">
        <v>313</v>
      </c>
      <c r="G33" s="500">
        <f>$U$26</f>
        <v>2249</v>
      </c>
      <c r="H33" s="641"/>
      <c r="I33" s="641"/>
      <c r="J33" s="40" t="s">
        <v>1</v>
      </c>
      <c r="K33" s="639">
        <f>$Q$3/1000</f>
        <v>1</v>
      </c>
      <c r="L33" s="639"/>
      <c r="M33" s="541" t="s">
        <v>12</v>
      </c>
      <c r="N33" s="509">
        <f>$U$28</f>
        <v>93</v>
      </c>
      <c r="O33" s="509"/>
      <c r="P33" s="40" t="s">
        <v>1</v>
      </c>
      <c r="Q33" s="662">
        <f>$Q$3/1000</f>
        <v>1</v>
      </c>
      <c r="R33" s="662"/>
      <c r="S33" s="202" t="s">
        <v>325</v>
      </c>
      <c r="T33" s="541" t="s">
        <v>0</v>
      </c>
      <c r="U33" s="507">
        <f>$G$33*$K$33/$J$34+$N$33*$Q$33^2/$P$34</f>
        <v>574</v>
      </c>
      <c r="V33" s="507"/>
      <c r="W33" s="657" t="s">
        <v>326</v>
      </c>
      <c r="X33" s="540"/>
      <c r="Y33" s="36"/>
      <c r="Z33" s="36"/>
      <c r="AA33" s="36"/>
      <c r="AB33" s="36"/>
      <c r="AC33" s="36"/>
      <c r="AD33" s="36"/>
      <c r="AE33" s="80"/>
      <c r="AF33" s="186"/>
      <c r="AG33" s="219"/>
      <c r="AH33" s="219"/>
      <c r="AI33" s="219"/>
      <c r="AJ33" s="219"/>
      <c r="AK33" s="2"/>
      <c r="AL33" s="2"/>
    </row>
    <row r="34" spans="1:36" ht="18" customHeight="1">
      <c r="A34" s="36"/>
      <c r="B34" s="36"/>
      <c r="C34" s="36"/>
      <c r="D34" s="36"/>
      <c r="E34" s="41"/>
      <c r="F34" s="541"/>
      <c r="G34" s="36"/>
      <c r="H34" s="36"/>
      <c r="I34" s="36"/>
      <c r="J34" s="36">
        <v>4</v>
      </c>
      <c r="K34" s="36"/>
      <c r="L34" s="36"/>
      <c r="M34" s="541"/>
      <c r="N34" s="41"/>
      <c r="O34" s="41"/>
      <c r="P34" s="36">
        <v>8</v>
      </c>
      <c r="Q34" s="36"/>
      <c r="R34" s="36"/>
      <c r="S34" s="36"/>
      <c r="T34" s="541"/>
      <c r="U34" s="507"/>
      <c r="V34" s="507"/>
      <c r="W34" s="540"/>
      <c r="X34" s="540"/>
      <c r="Y34" s="36"/>
      <c r="Z34" s="36"/>
      <c r="AA34" s="36"/>
      <c r="AB34" s="36"/>
      <c r="AC34" s="36"/>
      <c r="AD34" s="36"/>
      <c r="AE34" s="80"/>
      <c r="AF34" s="80"/>
      <c r="AG34" s="17"/>
      <c r="AH34" s="17"/>
      <c r="AI34" s="17"/>
      <c r="AJ34" s="17"/>
    </row>
    <row r="35" spans="1:36" ht="18" customHeight="1">
      <c r="A35" s="36"/>
      <c r="B35" s="36"/>
      <c r="C35" s="36"/>
      <c r="D35" s="36" t="s">
        <v>305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2"/>
      <c r="R35" s="4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80"/>
      <c r="AF35" s="80"/>
      <c r="AG35" s="17"/>
      <c r="AH35" s="17"/>
      <c r="AI35" s="17"/>
      <c r="AJ35" s="17"/>
    </row>
    <row r="36" spans="1:36" ht="18" customHeight="1">
      <c r="A36" s="36"/>
      <c r="B36" s="36"/>
      <c r="C36" s="36"/>
      <c r="D36" s="36"/>
      <c r="E36" s="541" t="s">
        <v>519</v>
      </c>
      <c r="F36" s="541" t="s">
        <v>111</v>
      </c>
      <c r="G36" s="516" t="s">
        <v>306</v>
      </c>
      <c r="H36" s="516"/>
      <c r="I36" s="541" t="s">
        <v>0</v>
      </c>
      <c r="J36" s="525">
        <f>$U$33*1000</f>
        <v>574000</v>
      </c>
      <c r="K36" s="525"/>
      <c r="L36" s="525"/>
      <c r="M36" s="541" t="s">
        <v>0</v>
      </c>
      <c r="N36" s="661">
        <f>$J$36/$J$37</f>
        <v>15</v>
      </c>
      <c r="O36" s="661"/>
      <c r="P36" s="518" t="s">
        <v>307</v>
      </c>
      <c r="Q36" s="518"/>
      <c r="R36" s="541" t="str">
        <f>IF($N$36&lt;=$U$36,"＜","＞")</f>
        <v>＜</v>
      </c>
      <c r="S36" s="519" t="s">
        <v>308</v>
      </c>
      <c r="T36" s="519"/>
      <c r="U36" s="579">
        <f>'使用材一覧'!$P$27</f>
        <v>165</v>
      </c>
      <c r="V36" s="579"/>
      <c r="W36" s="541" t="s">
        <v>309</v>
      </c>
      <c r="X36" s="541"/>
      <c r="Y36" s="517">
        <f>IF($N$36&lt;=$U$36,"","NG")</f>
      </c>
      <c r="Z36" s="517"/>
      <c r="AA36" s="517"/>
      <c r="AB36" s="517"/>
      <c r="AC36" s="80"/>
      <c r="AD36" s="80"/>
      <c r="AE36" s="80"/>
      <c r="AF36" s="80"/>
      <c r="AG36" s="17"/>
      <c r="AH36" s="17"/>
      <c r="AI36" s="17"/>
      <c r="AJ36" s="17"/>
    </row>
    <row r="37" spans="1:36" ht="18" customHeight="1">
      <c r="A37" s="36"/>
      <c r="B37" s="36"/>
      <c r="C37" s="36"/>
      <c r="D37" s="36"/>
      <c r="E37" s="541"/>
      <c r="F37" s="541"/>
      <c r="G37" s="541" t="s">
        <v>315</v>
      </c>
      <c r="H37" s="541"/>
      <c r="I37" s="541"/>
      <c r="J37" s="507">
        <f>'使用材一覧'!$P$25</f>
        <v>37500</v>
      </c>
      <c r="K37" s="507"/>
      <c r="L37" s="507"/>
      <c r="M37" s="541"/>
      <c r="N37" s="661"/>
      <c r="O37" s="661"/>
      <c r="P37" s="518"/>
      <c r="Q37" s="518"/>
      <c r="R37" s="541"/>
      <c r="S37" s="519"/>
      <c r="T37" s="519"/>
      <c r="U37" s="579"/>
      <c r="V37" s="579"/>
      <c r="W37" s="541"/>
      <c r="X37" s="541"/>
      <c r="Y37" s="517"/>
      <c r="Z37" s="517"/>
      <c r="AA37" s="517"/>
      <c r="AB37" s="517"/>
      <c r="AC37" s="80"/>
      <c r="AD37" s="80"/>
      <c r="AE37" s="80"/>
      <c r="AF37" s="80"/>
      <c r="AG37" s="17"/>
      <c r="AH37" s="17"/>
      <c r="AI37" s="17"/>
      <c r="AJ37" s="17"/>
    </row>
    <row r="38" spans="1:36" ht="18" customHeight="1">
      <c r="A38" s="36"/>
      <c r="B38" s="36"/>
      <c r="C38" s="36"/>
      <c r="D38" s="36" t="s">
        <v>15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36"/>
      <c r="AE38" s="80"/>
      <c r="AF38" s="80"/>
      <c r="AG38" s="17"/>
      <c r="AH38" s="17"/>
      <c r="AI38" s="17"/>
      <c r="AJ38" s="17"/>
    </row>
    <row r="39" spans="1:36" ht="18" customHeight="1">
      <c r="A39" s="36"/>
      <c r="B39" s="36"/>
      <c r="C39" s="36"/>
      <c r="D39" s="36"/>
      <c r="E39" s="541" t="s">
        <v>528</v>
      </c>
      <c r="F39" s="541" t="s">
        <v>111</v>
      </c>
      <c r="G39" s="516" t="s">
        <v>524</v>
      </c>
      <c r="H39" s="516"/>
      <c r="I39" s="516"/>
      <c r="J39" s="541" t="s">
        <v>12</v>
      </c>
      <c r="K39" s="573" t="s">
        <v>526</v>
      </c>
      <c r="L39" s="573"/>
      <c r="M39" s="573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80"/>
      <c r="AF39" s="80"/>
      <c r="AG39" s="17"/>
      <c r="AH39" s="17"/>
      <c r="AI39" s="17"/>
      <c r="AJ39" s="17"/>
    </row>
    <row r="40" spans="1:36" ht="18" customHeight="1">
      <c r="A40" s="36"/>
      <c r="B40" s="36"/>
      <c r="C40" s="36"/>
      <c r="D40" s="36"/>
      <c r="E40" s="541"/>
      <c r="F40" s="541"/>
      <c r="G40" s="541" t="s">
        <v>525</v>
      </c>
      <c r="H40" s="541"/>
      <c r="I40" s="541"/>
      <c r="J40" s="541"/>
      <c r="K40" s="541" t="s">
        <v>527</v>
      </c>
      <c r="L40" s="541"/>
      <c r="M40" s="541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80"/>
      <c r="AF40" s="80"/>
      <c r="AG40" s="17"/>
      <c r="AH40" s="17"/>
      <c r="AI40" s="17"/>
      <c r="AJ40" s="17"/>
    </row>
    <row r="41" spans="1:36" ht="18" customHeight="1">
      <c r="A41" s="36"/>
      <c r="B41" s="36"/>
      <c r="C41" s="36"/>
      <c r="D41" s="36"/>
      <c r="E41" s="41"/>
      <c r="F41" s="541" t="s">
        <v>313</v>
      </c>
      <c r="G41" s="209"/>
      <c r="H41" s="500">
        <f>$U$26</f>
        <v>2249</v>
      </c>
      <c r="I41" s="641"/>
      <c r="J41" s="641"/>
      <c r="K41" s="40" t="s">
        <v>1</v>
      </c>
      <c r="L41" s="658">
        <f>$Q$3</f>
        <v>1000</v>
      </c>
      <c r="M41" s="658"/>
      <c r="N41" s="659"/>
      <c r="O41" s="202" t="s">
        <v>316</v>
      </c>
      <c r="P41" s="541" t="s">
        <v>12</v>
      </c>
      <c r="Q41" s="641">
        <v>5</v>
      </c>
      <c r="R41" s="641"/>
      <c r="S41" s="40" t="s">
        <v>1</v>
      </c>
      <c r="T41" s="676">
        <f>$U$28/1000</f>
        <v>0.093</v>
      </c>
      <c r="U41" s="676"/>
      <c r="V41" s="40" t="s">
        <v>1</v>
      </c>
      <c r="W41" s="658">
        <f>$Q$3</f>
        <v>1000</v>
      </c>
      <c r="X41" s="658"/>
      <c r="Y41" s="660"/>
      <c r="Z41" s="202" t="s">
        <v>317</v>
      </c>
      <c r="AA41" s="36"/>
      <c r="AB41" s="36"/>
      <c r="AC41" s="36"/>
      <c r="AD41" s="36"/>
      <c r="AE41" s="80"/>
      <c r="AF41" s="80"/>
      <c r="AG41" s="17"/>
      <c r="AH41" s="17"/>
      <c r="AI41" s="17"/>
      <c r="AJ41" s="17"/>
    </row>
    <row r="42" spans="1:36" ht="18" customHeight="1">
      <c r="A42" s="36"/>
      <c r="B42" s="36"/>
      <c r="C42" s="36"/>
      <c r="D42" s="36"/>
      <c r="E42" s="41"/>
      <c r="F42" s="541"/>
      <c r="G42" s="36">
        <v>48</v>
      </c>
      <c r="H42" s="36" t="s">
        <v>318</v>
      </c>
      <c r="I42" s="506">
        <f>'使用材一覧'!$P$26</f>
        <v>200000</v>
      </c>
      <c r="J42" s="506"/>
      <c r="K42" s="506"/>
      <c r="L42" s="41" t="s">
        <v>1</v>
      </c>
      <c r="M42" s="507">
        <f>'使用材一覧'!$P$24</f>
        <v>1870000</v>
      </c>
      <c r="N42" s="507"/>
      <c r="O42" s="507"/>
      <c r="P42" s="541"/>
      <c r="Q42" s="675">
        <v>384</v>
      </c>
      <c r="R42" s="675"/>
      <c r="S42" s="41" t="s">
        <v>1</v>
      </c>
      <c r="T42" s="507">
        <f>$I$42</f>
        <v>200000</v>
      </c>
      <c r="U42" s="507"/>
      <c r="V42" s="507"/>
      <c r="W42" s="41" t="s">
        <v>1</v>
      </c>
      <c r="X42" s="674">
        <f>$M$42</f>
        <v>1870000</v>
      </c>
      <c r="Y42" s="674"/>
      <c r="Z42" s="674"/>
      <c r="AA42" s="36"/>
      <c r="AB42" s="36"/>
      <c r="AC42" s="201"/>
      <c r="AD42" s="36"/>
      <c r="AE42" s="80"/>
      <c r="AF42" s="80"/>
      <c r="AG42" s="17"/>
      <c r="AH42" s="17"/>
      <c r="AI42" s="17"/>
      <c r="AJ42" s="17"/>
    </row>
    <row r="43" spans="1:36" ht="18" customHeight="1">
      <c r="A43" s="36"/>
      <c r="B43" s="36"/>
      <c r="C43" s="36"/>
      <c r="D43" s="36"/>
      <c r="E43" s="41"/>
      <c r="F43" s="36"/>
      <c r="G43" s="36"/>
      <c r="H43" s="36"/>
      <c r="I43" s="52"/>
      <c r="J43" s="52"/>
      <c r="K43" s="52"/>
      <c r="L43" s="41"/>
      <c r="M43" s="28"/>
      <c r="N43" s="28"/>
      <c r="O43" s="28"/>
      <c r="P43" s="42"/>
      <c r="Q43" s="36"/>
      <c r="R43" s="36"/>
      <c r="S43" s="41"/>
      <c r="T43" s="29"/>
      <c r="U43" s="29"/>
      <c r="V43" s="29"/>
      <c r="W43" s="41"/>
      <c r="X43" s="226"/>
      <c r="Y43" s="226"/>
      <c r="Z43" s="226"/>
      <c r="AA43" s="36"/>
      <c r="AB43" s="36"/>
      <c r="AC43" s="201"/>
      <c r="AD43" s="36"/>
      <c r="AE43" s="80"/>
      <c r="AF43" s="80"/>
      <c r="AG43" s="17"/>
      <c r="AH43" s="17"/>
      <c r="AI43" s="17"/>
      <c r="AJ43" s="17"/>
    </row>
    <row r="44" spans="1:36" ht="18" customHeight="1">
      <c r="A44" s="36"/>
      <c r="B44" s="36"/>
      <c r="C44" s="36"/>
      <c r="D44" s="36"/>
      <c r="E44" s="80"/>
      <c r="F44" s="42" t="s">
        <v>313</v>
      </c>
      <c r="G44" s="522">
        <f>$H$41*$L$41^3/($G$42*$I$42*$M$42)+$Q$41*$T$41*$W$41^4/($Q$42*$T$42*$X$42)</f>
        <v>0</v>
      </c>
      <c r="H44" s="522"/>
      <c r="I44" s="36" t="s">
        <v>319</v>
      </c>
      <c r="J44" s="36"/>
      <c r="K44" s="80"/>
      <c r="L44" s="36"/>
      <c r="M44" s="36"/>
      <c r="N44" s="36"/>
      <c r="O44" s="36"/>
      <c r="P44" s="36"/>
      <c r="Q44" s="80"/>
      <c r="R44" s="42"/>
      <c r="S44" s="36"/>
      <c r="T44" s="36"/>
      <c r="U44" s="36"/>
      <c r="V44" s="36"/>
      <c r="W44" s="36"/>
      <c r="X44" s="36"/>
      <c r="Y44" s="80"/>
      <c r="Z44" s="36"/>
      <c r="AA44" s="36"/>
      <c r="AB44" s="36"/>
      <c r="AC44" s="36"/>
      <c r="AD44" s="36"/>
      <c r="AE44" s="80"/>
      <c r="AF44" s="80"/>
      <c r="AG44" s="17"/>
      <c r="AH44" s="17"/>
      <c r="AI44" s="17"/>
      <c r="AJ44" s="17"/>
    </row>
    <row r="45" spans="1:36" ht="18" customHeight="1">
      <c r="A45" s="36"/>
      <c r="B45" s="36"/>
      <c r="C45" s="36"/>
      <c r="D45" s="36"/>
      <c r="E45" s="41"/>
      <c r="F45" s="41"/>
      <c r="G45" s="80"/>
      <c r="H45" s="80"/>
      <c r="I45" s="53"/>
      <c r="J45" s="53"/>
      <c r="K45" s="78"/>
      <c r="L45" s="80"/>
      <c r="M45" s="41"/>
      <c r="N45" s="41"/>
      <c r="O45" s="54"/>
      <c r="P45" s="54"/>
      <c r="Q45" s="36"/>
      <c r="R45" s="36"/>
      <c r="S45" s="36"/>
      <c r="T45" s="80"/>
      <c r="U45" s="55"/>
      <c r="V45" s="55"/>
      <c r="W45" s="55"/>
      <c r="X45" s="55"/>
      <c r="Y45" s="196"/>
      <c r="Z45" s="80"/>
      <c r="AA45" s="80"/>
      <c r="AB45" s="49"/>
      <c r="AC45" s="36"/>
      <c r="AD45" s="36"/>
      <c r="AE45" s="80"/>
      <c r="AF45" s="80"/>
      <c r="AG45" s="17"/>
      <c r="AH45" s="17"/>
      <c r="AI45" s="17"/>
      <c r="AJ45" s="17"/>
    </row>
    <row r="46" spans="1:36" ht="18" customHeight="1">
      <c r="A46" s="36"/>
      <c r="B46" s="36"/>
      <c r="C46" s="36"/>
      <c r="D46" s="36"/>
      <c r="E46" s="41"/>
      <c r="F46" s="41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80"/>
      <c r="AF46" s="80"/>
      <c r="AG46" s="17"/>
      <c r="AH46" s="17"/>
      <c r="AI46" s="17"/>
      <c r="AJ46" s="17"/>
    </row>
    <row r="47" spans="1:36" ht="18" customHeight="1">
      <c r="A47" s="36"/>
      <c r="B47" s="36"/>
      <c r="C47" s="36"/>
      <c r="D47" s="36"/>
      <c r="E47" s="80"/>
      <c r="F47" s="41"/>
      <c r="G47" s="80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80"/>
      <c r="AF47" s="80"/>
      <c r="AG47" s="17"/>
      <c r="AH47" s="17"/>
      <c r="AI47" s="17"/>
      <c r="AJ47" s="17"/>
    </row>
    <row r="48" spans="1:36" ht="13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80"/>
      <c r="AF48" s="80"/>
      <c r="AG48" s="17"/>
      <c r="AH48" s="17"/>
      <c r="AI48" s="17"/>
      <c r="AJ48" s="17"/>
    </row>
    <row r="49" spans="1:36" ht="13.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17"/>
      <c r="AH49" s="17"/>
      <c r="AI49" s="17"/>
      <c r="AJ49" s="17"/>
    </row>
    <row r="50" spans="1:36" ht="13.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17"/>
      <c r="AH50" s="17"/>
      <c r="AI50" s="17"/>
      <c r="AJ50" s="17"/>
    </row>
    <row r="51" spans="1:36" ht="13.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17"/>
      <c r="AH51" s="17"/>
      <c r="AI51" s="17"/>
      <c r="AJ51" s="17"/>
    </row>
    <row r="52" spans="1:32" ht="13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3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3.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3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3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3.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3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3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ht="13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ht="13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</sheetData>
  <sheetProtection sheet="1" objects="1" scenarios="1"/>
  <mergeCells count="64">
    <mergeCell ref="Y36:AB37"/>
    <mergeCell ref="M42:O42"/>
    <mergeCell ref="X42:Z42"/>
    <mergeCell ref="P41:P42"/>
    <mergeCell ref="Q42:R42"/>
    <mergeCell ref="Q41:R41"/>
    <mergeCell ref="T41:U41"/>
    <mergeCell ref="T42:V42"/>
    <mergeCell ref="P36:Q37"/>
    <mergeCell ref="R36:R37"/>
    <mergeCell ref="F41:F42"/>
    <mergeCell ref="K40:M40"/>
    <mergeCell ref="J39:J40"/>
    <mergeCell ref="G40:I40"/>
    <mergeCell ref="G39:I39"/>
    <mergeCell ref="I42:K42"/>
    <mergeCell ref="G31:H31"/>
    <mergeCell ref="S36:T37"/>
    <mergeCell ref="G44:H44"/>
    <mergeCell ref="G36:H36"/>
    <mergeCell ref="G37:H37"/>
    <mergeCell ref="K39:M39"/>
    <mergeCell ref="I36:I37"/>
    <mergeCell ref="J36:L36"/>
    <mergeCell ref="J37:L37"/>
    <mergeCell ref="M36:M37"/>
    <mergeCell ref="X16:X18"/>
    <mergeCell ref="E31:E32"/>
    <mergeCell ref="F31:F32"/>
    <mergeCell ref="T33:T34"/>
    <mergeCell ref="M33:M34"/>
    <mergeCell ref="K33:L33"/>
    <mergeCell ref="N33:O33"/>
    <mergeCell ref="J32:K32"/>
    <mergeCell ref="G32:H32"/>
    <mergeCell ref="F33:F34"/>
    <mergeCell ref="AB12:AC12"/>
    <mergeCell ref="Q3:S3"/>
    <mergeCell ref="Q4:S4"/>
    <mergeCell ref="X11:X13"/>
    <mergeCell ref="I31:I32"/>
    <mergeCell ref="U28:W28"/>
    <mergeCell ref="N6:P6"/>
    <mergeCell ref="Q6:S6"/>
    <mergeCell ref="U26:W26"/>
    <mergeCell ref="N25:O25"/>
    <mergeCell ref="Q25:R25"/>
    <mergeCell ref="U24:W24"/>
    <mergeCell ref="U25:W25"/>
    <mergeCell ref="J31:K31"/>
    <mergeCell ref="U33:V34"/>
    <mergeCell ref="W33:X34"/>
    <mergeCell ref="G33:I33"/>
    <mergeCell ref="H41:J41"/>
    <mergeCell ref="L41:N41"/>
    <mergeCell ref="W41:Y41"/>
    <mergeCell ref="U36:V37"/>
    <mergeCell ref="N36:O37"/>
    <mergeCell ref="Q33:R33"/>
    <mergeCell ref="W36:X37"/>
    <mergeCell ref="E36:E37"/>
    <mergeCell ref="F36:F37"/>
    <mergeCell ref="E39:E40"/>
    <mergeCell ref="F39:F40"/>
  </mergeCells>
  <printOptions/>
  <pageMargins left="0.62" right="0.3937007874015748" top="0.7874015748031497" bottom="0.3937007874015748" header="0" footer="0.11811023622047245"/>
  <pageSetup horizontalDpi="300" verticalDpi="300" orientation="portrait" paperSize="9" r:id="rId2"/>
  <headerFooter alignWithMargins="0">
    <oddFooter>&amp;L&amp;6&amp;F6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57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6" width="3.09765625" style="1" customWidth="1"/>
    <col min="17" max="18" width="3.19921875" style="1" customWidth="1"/>
    <col min="19" max="31" width="3.09765625" style="1" customWidth="1"/>
    <col min="32" max="32" width="11.09765625" style="1" customWidth="1"/>
    <col min="33" max="16384" width="4.69921875" style="1" customWidth="1"/>
  </cols>
  <sheetData>
    <row r="1" spans="1:36" ht="18" customHeight="1">
      <c r="A1" s="36"/>
      <c r="B1" s="481" t="s">
        <v>802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79"/>
      <c r="AE1" s="79"/>
      <c r="AF1" s="80"/>
      <c r="AG1" s="80"/>
      <c r="AH1" s="17"/>
      <c r="AI1" s="17"/>
      <c r="AJ1" s="17"/>
    </row>
    <row r="2" spans="1:36" ht="18" customHeight="1">
      <c r="A2" s="36"/>
      <c r="C2" s="80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79"/>
      <c r="AE2" s="79"/>
      <c r="AF2" s="80"/>
      <c r="AG2" s="80"/>
      <c r="AH2" s="17"/>
      <c r="AI2" s="17"/>
      <c r="AJ2" s="17"/>
    </row>
    <row r="3" spans="1:36" ht="18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79"/>
      <c r="AE3" s="79"/>
      <c r="AF3" s="80"/>
      <c r="AG3" s="80"/>
      <c r="AH3" s="17"/>
      <c r="AI3" s="17"/>
      <c r="AJ3" s="17"/>
    </row>
    <row r="4" spans="1:69" ht="18" customHeight="1">
      <c r="A4" s="36"/>
      <c r="B4" s="36"/>
      <c r="C4" s="36"/>
      <c r="D4" s="36"/>
      <c r="E4" s="36" t="s">
        <v>327</v>
      </c>
      <c r="F4" s="36"/>
      <c r="G4" s="36"/>
      <c r="H4" s="36"/>
      <c r="I4" s="36"/>
      <c r="J4" s="577" t="s">
        <v>72</v>
      </c>
      <c r="K4" s="577"/>
      <c r="L4" s="577"/>
      <c r="M4" s="577"/>
      <c r="N4" s="36"/>
      <c r="O4" s="41" t="s">
        <v>2</v>
      </c>
      <c r="P4" s="579">
        <f>VLOOKUP($J$4,'使用材一覧'!$AC$32:$AH$33,2,FALSE)</f>
        <v>7</v>
      </c>
      <c r="Q4" s="579"/>
      <c r="R4" s="36" t="s">
        <v>1</v>
      </c>
      <c r="S4" s="41" t="s">
        <v>3</v>
      </c>
      <c r="T4" s="41"/>
      <c r="U4" s="41"/>
      <c r="V4" s="41"/>
      <c r="W4" s="41"/>
      <c r="X4" s="36"/>
      <c r="Y4" s="36"/>
      <c r="Z4" s="36"/>
      <c r="AA4" s="36"/>
      <c r="AB4" s="36"/>
      <c r="AC4" s="36"/>
      <c r="AD4" s="79"/>
      <c r="AE4" s="36"/>
      <c r="AF4" s="558" t="s">
        <v>95</v>
      </c>
      <c r="AG4" s="156"/>
      <c r="AH4" s="227"/>
      <c r="AI4" s="228"/>
      <c r="AJ4" s="228"/>
      <c r="AK4" s="14"/>
      <c r="AL4" s="16"/>
      <c r="AM4" s="15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</row>
    <row r="5" spans="1:69" ht="18" customHeight="1">
      <c r="A5" s="36"/>
      <c r="B5" s="36"/>
      <c r="C5" s="36"/>
      <c r="D5" s="36"/>
      <c r="E5" s="36"/>
      <c r="F5" s="36" t="s">
        <v>4</v>
      </c>
      <c r="G5" s="36"/>
      <c r="H5" s="36"/>
      <c r="I5" s="36"/>
      <c r="J5" s="50"/>
      <c r="K5" s="36"/>
      <c r="L5" s="36"/>
      <c r="M5" s="587" t="s">
        <v>529</v>
      </c>
      <c r="N5" s="560"/>
      <c r="O5" s="539">
        <f>VLOOKUP($J$4,'使用材一覧'!$AC$32:$AH$33,3,FALSE)</f>
        <v>11800</v>
      </c>
      <c r="P5" s="539"/>
      <c r="Q5" s="585"/>
      <c r="R5" s="36"/>
      <c r="S5" s="36" t="s">
        <v>31</v>
      </c>
      <c r="T5" s="36"/>
      <c r="U5" s="165"/>
      <c r="V5" s="165"/>
      <c r="W5" s="36"/>
      <c r="X5" s="36"/>
      <c r="Y5" s="36"/>
      <c r="Z5" s="36"/>
      <c r="AA5" s="36"/>
      <c r="AB5" s="36"/>
      <c r="AC5" s="36"/>
      <c r="AD5" s="79"/>
      <c r="AE5" s="36"/>
      <c r="AF5" s="559"/>
      <c r="AG5" s="158"/>
      <c r="AH5" s="229"/>
      <c r="AI5" s="229"/>
      <c r="AJ5" s="229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</row>
    <row r="6" spans="1:69" ht="18" customHeight="1">
      <c r="A6" s="36"/>
      <c r="B6" s="36"/>
      <c r="C6" s="36"/>
      <c r="D6" s="36"/>
      <c r="E6" s="36"/>
      <c r="F6" s="36" t="s">
        <v>5</v>
      </c>
      <c r="G6" s="36"/>
      <c r="H6" s="36"/>
      <c r="I6" s="36"/>
      <c r="J6" s="36"/>
      <c r="K6" s="36"/>
      <c r="L6" s="36"/>
      <c r="M6" s="587" t="s">
        <v>530</v>
      </c>
      <c r="N6" s="587"/>
      <c r="O6" s="679">
        <v>5</v>
      </c>
      <c r="P6" s="679"/>
      <c r="Q6" s="680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79"/>
      <c r="AE6" s="161"/>
      <c r="AF6" s="163" t="s">
        <v>71</v>
      </c>
      <c r="AG6" s="158"/>
      <c r="AH6" s="229"/>
      <c r="AI6" s="229"/>
      <c r="AJ6" s="229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</row>
    <row r="7" spans="1:69" ht="18" customHeight="1">
      <c r="A7" s="36"/>
      <c r="B7" s="36"/>
      <c r="C7" s="36"/>
      <c r="D7" s="36"/>
      <c r="E7" s="36"/>
      <c r="F7" s="36" t="s">
        <v>6</v>
      </c>
      <c r="G7" s="36"/>
      <c r="H7" s="36"/>
      <c r="I7" s="36"/>
      <c r="J7" s="36"/>
      <c r="K7" s="36"/>
      <c r="L7" s="36"/>
      <c r="M7" s="587" t="s">
        <v>531</v>
      </c>
      <c r="N7" s="587"/>
      <c r="O7" s="539">
        <f>VLOOKUP($J$4,'使用材一覧'!$AC$32:$AH$33,5,FALSE)</f>
        <v>4250</v>
      </c>
      <c r="P7" s="539"/>
      <c r="Q7" s="527"/>
      <c r="R7" s="36"/>
      <c r="S7" s="36" t="s">
        <v>31</v>
      </c>
      <c r="T7" s="36"/>
      <c r="U7" s="165"/>
      <c r="V7" s="165"/>
      <c r="W7" s="36"/>
      <c r="X7" s="36"/>
      <c r="Y7" s="36"/>
      <c r="Z7" s="36"/>
      <c r="AA7" s="36"/>
      <c r="AB7" s="36"/>
      <c r="AC7" s="36"/>
      <c r="AD7" s="79"/>
      <c r="AE7" s="36"/>
      <c r="AF7" s="166" t="s">
        <v>72</v>
      </c>
      <c r="AG7" s="158"/>
      <c r="AH7" s="229"/>
      <c r="AI7" s="229"/>
      <c r="AJ7" s="229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</row>
    <row r="8" spans="1:69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41"/>
      <c r="O8" s="96"/>
      <c r="P8" s="96"/>
      <c r="Q8" s="96"/>
      <c r="R8" s="96"/>
      <c r="S8" s="96"/>
      <c r="T8" s="36"/>
      <c r="U8" s="36"/>
      <c r="V8" s="36"/>
      <c r="W8" s="36"/>
      <c r="X8" s="36"/>
      <c r="Y8" s="36"/>
      <c r="Z8" s="36"/>
      <c r="AA8" s="36"/>
      <c r="AB8" s="36"/>
      <c r="AC8" s="36"/>
      <c r="AD8" s="79"/>
      <c r="AE8" s="36"/>
      <c r="AF8" s="158"/>
      <c r="AG8" s="158"/>
      <c r="AH8" s="229"/>
      <c r="AI8" s="229"/>
      <c r="AJ8" s="229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</row>
    <row r="9" spans="1:69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79"/>
      <c r="AE9" s="36"/>
      <c r="AF9" s="158"/>
      <c r="AG9" s="158"/>
      <c r="AH9" s="229"/>
      <c r="AI9" s="229"/>
      <c r="AJ9" s="229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</row>
    <row r="10" spans="1:36" ht="18" customHeight="1">
      <c r="A10" s="36"/>
      <c r="B10" s="36"/>
      <c r="C10" s="36"/>
      <c r="D10" s="36"/>
      <c r="E10" s="36" t="s">
        <v>19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586">
        <f>おやご!$Q$3</f>
        <v>1000</v>
      </c>
      <c r="R10" s="689"/>
      <c r="S10" s="689"/>
      <c r="T10" s="36" t="s">
        <v>32</v>
      </c>
      <c r="U10" s="36"/>
      <c r="V10" s="36"/>
      <c r="W10" s="36"/>
      <c r="X10" s="36"/>
      <c r="Y10" s="36"/>
      <c r="Z10" s="36"/>
      <c r="AA10" s="36"/>
      <c r="AB10" s="36"/>
      <c r="AC10" s="36"/>
      <c r="AD10" s="79"/>
      <c r="AE10" s="79"/>
      <c r="AF10" s="80"/>
      <c r="AG10" s="80"/>
      <c r="AH10" s="17"/>
      <c r="AI10" s="17"/>
      <c r="AJ10" s="17"/>
    </row>
    <row r="11" spans="1:36" ht="18" customHeight="1">
      <c r="A11" s="36"/>
      <c r="B11" s="36"/>
      <c r="C11" s="36"/>
      <c r="D11" s="36"/>
      <c r="E11" s="36" t="s">
        <v>20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586">
        <f>おやご!$Q$4</f>
        <v>1800</v>
      </c>
      <c r="R11" s="689"/>
      <c r="S11" s="689"/>
      <c r="T11" s="36" t="s">
        <v>32</v>
      </c>
      <c r="U11" s="36" t="s">
        <v>21</v>
      </c>
      <c r="V11" s="36"/>
      <c r="W11" s="36"/>
      <c r="X11" s="36"/>
      <c r="Y11" s="36"/>
      <c r="Z11" s="36"/>
      <c r="AA11" s="36"/>
      <c r="AB11" s="36"/>
      <c r="AC11" s="36"/>
      <c r="AD11" s="79"/>
      <c r="AE11" s="79"/>
      <c r="AF11" s="80"/>
      <c r="AG11" s="80"/>
      <c r="AH11" s="17"/>
      <c r="AI11" s="17"/>
      <c r="AJ11" s="17"/>
    </row>
    <row r="12" spans="1:36" ht="18" customHeight="1">
      <c r="A12" s="36"/>
      <c r="B12" s="36"/>
      <c r="C12" s="82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79"/>
      <c r="AF12" s="80"/>
      <c r="AG12" s="80"/>
      <c r="AH12" s="17"/>
      <c r="AI12" s="17"/>
      <c r="AJ12" s="17"/>
    </row>
    <row r="13" spans="1:36" ht="18" customHeight="1">
      <c r="A13" s="36"/>
      <c r="B13" s="36"/>
      <c r="C13" s="82"/>
      <c r="D13" s="36"/>
      <c r="E13" s="36"/>
      <c r="F13" s="36"/>
      <c r="G13" s="36"/>
      <c r="H13" s="36"/>
      <c r="I13" s="36"/>
      <c r="J13" s="36"/>
      <c r="K13" s="36"/>
      <c r="L13" s="544">
        <f>$Q$10</f>
        <v>1000</v>
      </c>
      <c r="M13" s="682"/>
      <c r="N13" s="682"/>
      <c r="O13" s="682"/>
      <c r="P13" s="36"/>
      <c r="Q13" s="89"/>
      <c r="R13" s="544">
        <f>$Q$10</f>
        <v>1000</v>
      </c>
      <c r="S13" s="682"/>
      <c r="T13" s="682"/>
      <c r="U13" s="682"/>
      <c r="V13" s="36"/>
      <c r="W13" s="36"/>
      <c r="X13" s="36"/>
      <c r="Y13" s="36"/>
      <c r="Z13" s="36"/>
      <c r="AA13" s="36"/>
      <c r="AB13" s="36"/>
      <c r="AC13" s="36"/>
      <c r="AD13" s="36"/>
      <c r="AE13" s="79"/>
      <c r="AF13" s="80"/>
      <c r="AG13" s="80"/>
      <c r="AH13" s="17"/>
      <c r="AI13" s="17"/>
      <c r="AJ13" s="17"/>
    </row>
    <row r="14" spans="1:36" ht="18" customHeight="1">
      <c r="A14" s="36"/>
      <c r="B14" s="36"/>
      <c r="C14" s="82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89"/>
      <c r="R14" s="206"/>
      <c r="S14" s="20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79"/>
      <c r="AF14" s="80"/>
      <c r="AG14" s="80"/>
      <c r="AH14" s="17"/>
      <c r="AI14" s="17"/>
      <c r="AJ14" s="17"/>
    </row>
    <row r="15" spans="1:36" ht="18" customHeight="1">
      <c r="A15" s="36"/>
      <c r="B15" s="36"/>
      <c r="C15" s="8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544">
        <f>$Q$10</f>
        <v>1000</v>
      </c>
      <c r="P15" s="682"/>
      <c r="Q15" s="682"/>
      <c r="R15" s="682"/>
      <c r="S15" s="37"/>
      <c r="T15" s="36"/>
      <c r="U15" s="36"/>
      <c r="V15" s="80"/>
      <c r="W15" s="220"/>
      <c r="X15" s="220"/>
      <c r="Y15" s="80"/>
      <c r="Z15" s="220" t="s">
        <v>18</v>
      </c>
      <c r="AA15" s="36"/>
      <c r="AB15" s="36"/>
      <c r="AC15" s="36"/>
      <c r="AD15" s="36"/>
      <c r="AE15" s="79"/>
      <c r="AF15" s="80"/>
      <c r="AG15" s="80"/>
      <c r="AH15" s="17"/>
      <c r="AI15" s="17"/>
      <c r="AJ15" s="17"/>
    </row>
    <row r="16" spans="1:36" ht="18" customHeight="1">
      <c r="A16" s="36"/>
      <c r="B16" s="36"/>
      <c r="C16" s="8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37"/>
      <c r="T16" s="36"/>
      <c r="U16" s="36"/>
      <c r="V16" s="36"/>
      <c r="W16" s="36"/>
      <c r="X16" s="36"/>
      <c r="Y16" s="220"/>
      <c r="Z16" s="36"/>
      <c r="AA16" s="36"/>
      <c r="AB16" s="36"/>
      <c r="AC16" s="36"/>
      <c r="AD16" s="79"/>
      <c r="AE16" s="79"/>
      <c r="AF16" s="80"/>
      <c r="AG16" s="80"/>
      <c r="AH16" s="17"/>
      <c r="AI16" s="17"/>
      <c r="AJ16" s="17"/>
    </row>
    <row r="17" spans="1:36" ht="18" customHeight="1">
      <c r="A17" s="36"/>
      <c r="B17" s="36"/>
      <c r="C17" s="8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7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79"/>
      <c r="AE17" s="79"/>
      <c r="AF17" s="80"/>
      <c r="AG17" s="80"/>
      <c r="AH17" s="17"/>
      <c r="AI17" s="17"/>
      <c r="AJ17" s="17"/>
    </row>
    <row r="18" spans="1:36" ht="18" customHeight="1">
      <c r="A18" s="36"/>
      <c r="B18" s="36"/>
      <c r="C18" s="8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80"/>
      <c r="AA18" s="36"/>
      <c r="AB18" s="80"/>
      <c r="AC18" s="36"/>
      <c r="AD18" s="79"/>
      <c r="AE18" s="79"/>
      <c r="AF18" s="80"/>
      <c r="AG18" s="80"/>
      <c r="AH18" s="17"/>
      <c r="AI18" s="17"/>
      <c r="AJ18" s="17"/>
    </row>
    <row r="19" spans="1:36" ht="18" customHeight="1">
      <c r="A19" s="36"/>
      <c r="B19" s="36"/>
      <c r="C19" s="82"/>
      <c r="D19" s="36"/>
      <c r="E19" s="36"/>
      <c r="F19" s="36"/>
      <c r="G19" s="158" t="s">
        <v>22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41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79"/>
      <c r="AE19" s="79"/>
      <c r="AF19" s="80"/>
      <c r="AG19" s="80"/>
      <c r="AH19" s="17"/>
      <c r="AI19" s="17"/>
      <c r="AJ19" s="17"/>
    </row>
    <row r="20" spans="1:36" ht="18" customHeight="1">
      <c r="A20" s="36"/>
      <c r="B20" s="36"/>
      <c r="C20" s="8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579"/>
      <c r="AC20" s="579"/>
      <c r="AD20" s="79"/>
      <c r="AE20" s="79"/>
      <c r="AF20" s="80"/>
      <c r="AG20" s="80"/>
      <c r="AH20" s="17"/>
      <c r="AI20" s="17"/>
      <c r="AJ20" s="17"/>
    </row>
    <row r="21" spans="1:36" ht="18" customHeight="1">
      <c r="A21" s="36"/>
      <c r="B21" s="36"/>
      <c r="C21" s="8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 t="s">
        <v>86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79"/>
      <c r="AE21" s="79"/>
      <c r="AF21" s="80"/>
      <c r="AG21" s="80"/>
      <c r="AH21" s="17"/>
      <c r="AI21" s="17"/>
      <c r="AJ21" s="17"/>
    </row>
    <row r="22" spans="1:36" ht="18" customHeight="1">
      <c r="A22" s="36"/>
      <c r="B22" s="36"/>
      <c r="C22" s="8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544">
        <f>$Q$11</f>
        <v>1800</v>
      </c>
      <c r="Z22" s="579"/>
      <c r="AA22" s="579"/>
      <c r="AB22" s="36"/>
      <c r="AC22" s="36"/>
      <c r="AD22" s="79"/>
      <c r="AE22" s="79"/>
      <c r="AF22" s="80"/>
      <c r="AG22" s="80"/>
      <c r="AH22" s="17"/>
      <c r="AI22" s="17"/>
      <c r="AJ22" s="17"/>
    </row>
    <row r="23" spans="1:36" ht="18" customHeight="1">
      <c r="A23" s="36"/>
      <c r="B23" s="36"/>
      <c r="C23" s="8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579"/>
      <c r="Z23" s="579"/>
      <c r="AA23" s="579"/>
      <c r="AB23" s="36"/>
      <c r="AC23" s="36"/>
      <c r="AD23" s="79"/>
      <c r="AE23" s="79"/>
      <c r="AF23" s="80"/>
      <c r="AG23" s="80"/>
      <c r="AH23" s="17"/>
      <c r="AI23" s="17"/>
      <c r="AJ23" s="17"/>
    </row>
    <row r="24" spans="1:36" ht="18" customHeight="1">
      <c r="A24" s="36"/>
      <c r="B24" s="36"/>
      <c r="C24" s="8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79"/>
      <c r="AE24" s="79"/>
      <c r="AF24" s="80"/>
      <c r="AG24" s="80"/>
      <c r="AH24" s="17"/>
      <c r="AI24" s="17"/>
      <c r="AJ24" s="17"/>
    </row>
    <row r="25" spans="1:36" ht="18" customHeight="1">
      <c r="A25" s="36"/>
      <c r="B25" s="36"/>
      <c r="C25" s="8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79"/>
      <c r="AE25" s="79"/>
      <c r="AF25" s="80"/>
      <c r="AG25" s="80"/>
      <c r="AH25" s="17"/>
      <c r="AI25" s="17"/>
      <c r="AJ25" s="17"/>
    </row>
    <row r="26" spans="1:36" ht="18" customHeight="1">
      <c r="A26" s="36"/>
      <c r="B26" s="36"/>
      <c r="C26" s="8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50"/>
      <c r="AC26" s="36"/>
      <c r="AD26" s="79"/>
      <c r="AE26" s="79"/>
      <c r="AF26" s="80"/>
      <c r="AG26" s="80"/>
      <c r="AH26" s="17"/>
      <c r="AI26" s="17"/>
      <c r="AJ26" s="17"/>
    </row>
    <row r="27" spans="1:36" ht="18" customHeight="1">
      <c r="A27" s="36"/>
      <c r="B27" s="36"/>
      <c r="C27" s="8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79"/>
      <c r="AE27" s="79"/>
      <c r="AF27" s="80"/>
      <c r="AG27" s="80"/>
      <c r="AH27" s="17"/>
      <c r="AI27" s="17"/>
      <c r="AJ27" s="17"/>
    </row>
    <row r="28" spans="1:36" ht="18" customHeight="1">
      <c r="A28" s="36"/>
      <c r="B28" s="36"/>
      <c r="C28" s="8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79"/>
      <c r="AE28" s="79"/>
      <c r="AF28" s="80"/>
      <c r="AG28" s="80"/>
      <c r="AH28" s="17"/>
      <c r="AI28" s="17"/>
      <c r="AJ28" s="17"/>
    </row>
    <row r="29" spans="1:36" ht="18" customHeight="1">
      <c r="A29" s="36"/>
      <c r="B29" s="36"/>
      <c r="C29" s="8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 t="s">
        <v>320</v>
      </c>
      <c r="W29" s="36"/>
      <c r="X29" s="80"/>
      <c r="Y29" s="36"/>
      <c r="Z29" s="36"/>
      <c r="AA29" s="36"/>
      <c r="AB29" s="36"/>
      <c r="AC29" s="36"/>
      <c r="AD29" s="79"/>
      <c r="AE29" s="79"/>
      <c r="AF29" s="80"/>
      <c r="AG29" s="80"/>
      <c r="AH29" s="17"/>
      <c r="AI29" s="17"/>
      <c r="AJ29" s="17"/>
    </row>
    <row r="30" spans="1:36" ht="18" customHeight="1">
      <c r="A30" s="36"/>
      <c r="B30" s="36"/>
      <c r="C30" s="82"/>
      <c r="D30" s="36"/>
      <c r="E30" s="36"/>
      <c r="F30" s="36"/>
      <c r="G30" s="36"/>
      <c r="H30" s="36"/>
      <c r="I30" s="36"/>
      <c r="J30" s="36"/>
      <c r="K30" s="186"/>
      <c r="L30" s="186"/>
      <c r="M30" s="186"/>
      <c r="N30" s="186"/>
      <c r="O30" s="186"/>
      <c r="P30" s="36"/>
      <c r="Q30" s="28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79"/>
      <c r="AE30" s="79"/>
      <c r="AF30" s="80"/>
      <c r="AG30" s="80"/>
      <c r="AH30" s="17"/>
      <c r="AI30" s="17"/>
      <c r="AJ30" s="17"/>
    </row>
    <row r="31" spans="1:36" ht="18" customHeight="1">
      <c r="A31" s="36"/>
      <c r="B31" s="36"/>
      <c r="C31" s="8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79"/>
      <c r="AE31" s="79"/>
      <c r="AF31" s="80"/>
      <c r="AG31" s="80"/>
      <c r="AH31" s="17"/>
      <c r="AI31" s="17"/>
      <c r="AJ31" s="17"/>
    </row>
    <row r="32" spans="1:36" ht="18" customHeight="1">
      <c r="A32" s="36"/>
      <c r="B32" s="36"/>
      <c r="C32" s="36"/>
      <c r="D32" s="36" t="s">
        <v>23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79"/>
      <c r="AE32" s="79"/>
      <c r="AF32" s="80"/>
      <c r="AG32" s="80"/>
      <c r="AH32" s="17"/>
      <c r="AI32" s="17"/>
      <c r="AJ32" s="17"/>
    </row>
    <row r="33" spans="1:36" ht="18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79"/>
      <c r="AE33" s="79"/>
      <c r="AF33" s="80"/>
      <c r="AG33" s="80"/>
      <c r="AH33" s="17"/>
      <c r="AI33" s="17"/>
      <c r="AJ33" s="17"/>
    </row>
    <row r="34" spans="1:36" ht="18" customHeight="1">
      <c r="A34" s="36"/>
      <c r="B34" s="36"/>
      <c r="C34" s="36"/>
      <c r="D34" s="36" t="s">
        <v>24</v>
      </c>
      <c r="E34" s="36"/>
      <c r="F34" s="36"/>
      <c r="G34" s="36"/>
      <c r="H34" s="36"/>
      <c r="I34" s="36"/>
      <c r="J34" s="36"/>
      <c r="K34" s="36"/>
      <c r="L34" s="79"/>
      <c r="M34" s="79"/>
      <c r="N34" s="79"/>
      <c r="O34" s="79"/>
      <c r="P34" s="79"/>
      <c r="Q34" s="79"/>
      <c r="R34" s="79"/>
      <c r="S34" s="79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79"/>
      <c r="AE34" s="79"/>
      <c r="AF34" s="80"/>
      <c r="AG34" s="80"/>
      <c r="AH34" s="17"/>
      <c r="AI34" s="17"/>
      <c r="AJ34" s="17"/>
    </row>
    <row r="35" spans="1:36" ht="18" customHeight="1">
      <c r="A35" s="36"/>
      <c r="B35" s="36"/>
      <c r="C35" s="36"/>
      <c r="D35" s="36"/>
      <c r="E35" s="36"/>
      <c r="F35" s="36"/>
      <c r="G35" s="36" t="s">
        <v>17</v>
      </c>
      <c r="H35" s="36"/>
      <c r="I35" s="36"/>
      <c r="J35" s="36"/>
      <c r="K35" s="36"/>
      <c r="L35" s="678">
        <f>'足場板'!$X$25</f>
        <v>184</v>
      </c>
      <c r="M35" s="678"/>
      <c r="N35" s="41" t="s">
        <v>1</v>
      </c>
      <c r="O35" s="677">
        <f>$Q$10/1000</f>
        <v>1</v>
      </c>
      <c r="P35" s="677"/>
      <c r="Q35" s="41" t="s">
        <v>1</v>
      </c>
      <c r="R35" s="579">
        <f>$Q$11/1000</f>
        <v>1.8</v>
      </c>
      <c r="S35" s="579"/>
      <c r="T35" s="36"/>
      <c r="U35" s="42" t="s">
        <v>111</v>
      </c>
      <c r="V35" s="584">
        <f>$L$35*$O$35*$R$35</f>
        <v>331</v>
      </c>
      <c r="W35" s="578"/>
      <c r="X35" s="578"/>
      <c r="Y35" s="36" t="s">
        <v>31</v>
      </c>
      <c r="Z35" s="36"/>
      <c r="AA35" s="36"/>
      <c r="AB35" s="36"/>
      <c r="AC35" s="36"/>
      <c r="AD35" s="79"/>
      <c r="AE35" s="79"/>
      <c r="AF35" s="80"/>
      <c r="AG35" s="80"/>
      <c r="AH35" s="17"/>
      <c r="AI35" s="17"/>
      <c r="AJ35" s="17"/>
    </row>
    <row r="36" spans="1:36" ht="18" customHeight="1">
      <c r="A36" s="36"/>
      <c r="B36" s="36"/>
      <c r="C36" s="36"/>
      <c r="D36" s="36"/>
      <c r="E36" s="36"/>
      <c r="F36" s="36"/>
      <c r="G36" s="652" t="s">
        <v>328</v>
      </c>
      <c r="H36" s="652"/>
      <c r="I36" s="652"/>
      <c r="J36" s="652"/>
      <c r="K36" s="652"/>
      <c r="L36" s="579">
        <f>'足場板'!$R$21</f>
        <v>69</v>
      </c>
      <c r="M36" s="579"/>
      <c r="N36" s="587" t="s">
        <v>1</v>
      </c>
      <c r="O36" s="677">
        <f>$Q$11/1000</f>
        <v>1.8</v>
      </c>
      <c r="P36" s="677"/>
      <c r="Q36" s="587" t="s">
        <v>1</v>
      </c>
      <c r="R36" s="683">
        <f>$Q$10/1000</f>
        <v>1</v>
      </c>
      <c r="S36" s="683"/>
      <c r="T36" s="36"/>
      <c r="U36" s="541" t="s">
        <v>111</v>
      </c>
      <c r="V36" s="584">
        <f>$L$36*$O$36*$R$36/$R$37</f>
        <v>155</v>
      </c>
      <c r="W36" s="578"/>
      <c r="X36" s="578"/>
      <c r="Y36" s="652" t="s">
        <v>31</v>
      </c>
      <c r="Z36" s="36"/>
      <c r="AA36" s="36"/>
      <c r="AB36" s="36"/>
      <c r="AC36" s="36"/>
      <c r="AD36" s="80"/>
      <c r="AE36" s="80"/>
      <c r="AF36" s="80"/>
      <c r="AG36" s="80"/>
      <c r="AH36" s="17"/>
      <c r="AI36" s="17"/>
      <c r="AJ36" s="17"/>
    </row>
    <row r="37" spans="1:36" ht="18" customHeight="1">
      <c r="A37" s="36"/>
      <c r="B37" s="36"/>
      <c r="C37" s="36"/>
      <c r="D37" s="36"/>
      <c r="E37" s="36"/>
      <c r="F37" s="36"/>
      <c r="G37" s="652"/>
      <c r="H37" s="652"/>
      <c r="I37" s="652"/>
      <c r="J37" s="652"/>
      <c r="K37" s="652"/>
      <c r="L37" s="585"/>
      <c r="M37" s="585"/>
      <c r="N37" s="540"/>
      <c r="O37" s="540"/>
      <c r="P37" s="540"/>
      <c r="Q37" s="540"/>
      <c r="R37" s="681">
        <f>おやご!$Q$6/1000</f>
        <v>0.8</v>
      </c>
      <c r="S37" s="681"/>
      <c r="T37" s="36"/>
      <c r="U37" s="541"/>
      <c r="V37" s="584"/>
      <c r="W37" s="578"/>
      <c r="X37" s="578"/>
      <c r="Y37" s="652"/>
      <c r="Z37" s="36"/>
      <c r="AA37" s="36"/>
      <c r="AB37" s="36"/>
      <c r="AC37" s="36"/>
      <c r="AD37" s="80"/>
      <c r="AE37" s="80"/>
      <c r="AF37" s="80"/>
      <c r="AG37" s="80"/>
      <c r="AH37" s="17"/>
      <c r="AI37" s="17"/>
      <c r="AJ37" s="17"/>
    </row>
    <row r="38" spans="1:36" ht="18" customHeight="1">
      <c r="A38" s="36"/>
      <c r="B38" s="36"/>
      <c r="C38" s="36"/>
      <c r="D38" s="36"/>
      <c r="E38" s="36"/>
      <c r="F38" s="36"/>
      <c r="G38" s="36" t="s">
        <v>329</v>
      </c>
      <c r="H38" s="36"/>
      <c r="I38" s="36"/>
      <c r="J38" s="36"/>
      <c r="K38" s="36"/>
      <c r="L38" s="678">
        <f>'足場板'!$R$23</f>
        <v>93</v>
      </c>
      <c r="M38" s="678"/>
      <c r="N38" s="41" t="s">
        <v>1</v>
      </c>
      <c r="O38" s="677">
        <f>$Q$10/1000</f>
        <v>1</v>
      </c>
      <c r="P38" s="677"/>
      <c r="Q38" s="79"/>
      <c r="R38" s="42"/>
      <c r="S38" s="42"/>
      <c r="T38" s="36"/>
      <c r="U38" s="42" t="s">
        <v>111</v>
      </c>
      <c r="V38" s="584">
        <f>$L$38*$O$38</f>
        <v>93</v>
      </c>
      <c r="W38" s="578"/>
      <c r="X38" s="578"/>
      <c r="Y38" s="36" t="s">
        <v>31</v>
      </c>
      <c r="Z38" s="36"/>
      <c r="AA38" s="36"/>
      <c r="AB38" s="36"/>
      <c r="AC38" s="36"/>
      <c r="AD38" s="80"/>
      <c r="AE38" s="80"/>
      <c r="AF38" s="80"/>
      <c r="AG38" s="80"/>
      <c r="AH38" s="17"/>
      <c r="AI38" s="17"/>
      <c r="AJ38" s="17"/>
    </row>
    <row r="39" spans="1:36" ht="18" customHeight="1">
      <c r="A39" s="36"/>
      <c r="B39" s="36"/>
      <c r="C39" s="36"/>
      <c r="D39" s="36"/>
      <c r="E39" s="36"/>
      <c r="F39" s="36"/>
      <c r="G39" s="208" t="s">
        <v>25</v>
      </c>
      <c r="H39" s="208"/>
      <c r="I39" s="208"/>
      <c r="J39" s="208"/>
      <c r="K39" s="208"/>
      <c r="L39" s="208"/>
      <c r="M39" s="208"/>
      <c r="N39" s="230"/>
      <c r="O39" s="208"/>
      <c r="P39" s="208"/>
      <c r="Q39" s="230"/>
      <c r="R39" s="230"/>
      <c r="S39" s="208"/>
      <c r="T39" s="208"/>
      <c r="U39" s="211" t="s">
        <v>111</v>
      </c>
      <c r="V39" s="688">
        <f>'足場板'!$V$33</f>
        <v>1860</v>
      </c>
      <c r="W39" s="669"/>
      <c r="X39" s="669"/>
      <c r="Y39" s="221" t="s">
        <v>31</v>
      </c>
      <c r="Z39" s="36"/>
      <c r="AA39" s="36"/>
      <c r="AB39" s="36"/>
      <c r="AC39" s="36"/>
      <c r="AD39" s="80"/>
      <c r="AE39" s="80"/>
      <c r="AF39" s="80"/>
      <c r="AG39" s="80"/>
      <c r="AH39" s="17"/>
      <c r="AI39" s="17"/>
      <c r="AJ39" s="17"/>
    </row>
    <row r="40" spans="1:36" ht="18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 t="s">
        <v>26</v>
      </c>
      <c r="T40" s="36"/>
      <c r="U40" s="203" t="s">
        <v>111</v>
      </c>
      <c r="V40" s="686">
        <f>SUM($V$35:$X$39)</f>
        <v>2439</v>
      </c>
      <c r="W40" s="687"/>
      <c r="X40" s="687"/>
      <c r="Y40" s="78" t="s">
        <v>31</v>
      </c>
      <c r="Z40" s="36"/>
      <c r="AA40" s="36"/>
      <c r="AB40" s="36"/>
      <c r="AC40" s="36"/>
      <c r="AD40" s="80"/>
      <c r="AE40" s="80"/>
      <c r="AF40" s="80"/>
      <c r="AG40" s="80"/>
      <c r="AH40" s="17"/>
      <c r="AI40" s="17"/>
      <c r="AJ40" s="17"/>
    </row>
    <row r="41" spans="1:36" ht="18" customHeight="1">
      <c r="A41" s="36"/>
      <c r="B41" s="36"/>
      <c r="C41" s="36"/>
      <c r="D41" s="36" t="s">
        <v>27</v>
      </c>
      <c r="E41" s="36"/>
      <c r="F41" s="36"/>
      <c r="G41" s="36"/>
      <c r="H41" s="36"/>
      <c r="I41" s="36"/>
      <c r="J41" s="50"/>
      <c r="K41" s="80"/>
      <c r="L41" s="8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80"/>
      <c r="AE41" s="80"/>
      <c r="AF41" s="80"/>
      <c r="AG41" s="80"/>
      <c r="AH41" s="17"/>
      <c r="AI41" s="17"/>
      <c r="AJ41" s="17"/>
    </row>
    <row r="42" spans="1:36" ht="18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79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80"/>
      <c r="AE42" s="80"/>
      <c r="AF42" s="80"/>
      <c r="AG42" s="80"/>
      <c r="AH42" s="17"/>
      <c r="AI42" s="17"/>
      <c r="AJ42" s="17"/>
    </row>
    <row r="43" spans="1:36" ht="18" customHeight="1">
      <c r="A43" s="36"/>
      <c r="B43" s="36"/>
      <c r="C43" s="36"/>
      <c r="D43" s="36"/>
      <c r="E43" s="36"/>
      <c r="F43" s="41" t="s">
        <v>532</v>
      </c>
      <c r="G43" s="41" t="s">
        <v>111</v>
      </c>
      <c r="H43" s="584">
        <f>$V$40</f>
        <v>2439</v>
      </c>
      <c r="I43" s="584"/>
      <c r="J43" s="540"/>
      <c r="K43" s="36" t="s">
        <v>31</v>
      </c>
      <c r="L43" s="42" t="str">
        <f>IF($H$43&lt;=$O$43,"&lt;","&gt;")</f>
        <v>&lt;</v>
      </c>
      <c r="M43" s="587" t="s">
        <v>533</v>
      </c>
      <c r="N43" s="560"/>
      <c r="O43" s="539">
        <f>$O$7</f>
        <v>4250</v>
      </c>
      <c r="P43" s="532"/>
      <c r="Q43" s="540"/>
      <c r="R43" s="36" t="s">
        <v>31</v>
      </c>
      <c r="S43" s="684">
        <f>IF($H$43&lt;=$O$43,"","NG")</f>
      </c>
      <c r="T43" s="685"/>
      <c r="U43" s="685"/>
      <c r="V43" s="36"/>
      <c r="W43" s="36"/>
      <c r="X43" s="36"/>
      <c r="Y43" s="36"/>
      <c r="Z43" s="36"/>
      <c r="AA43" s="36"/>
      <c r="AB43" s="36"/>
      <c r="AC43" s="36"/>
      <c r="AD43" s="36"/>
      <c r="AE43" s="80"/>
      <c r="AF43" s="80"/>
      <c r="AG43" s="80"/>
      <c r="AH43" s="17"/>
      <c r="AI43" s="17"/>
      <c r="AJ43" s="17"/>
    </row>
    <row r="44" spans="1:36" ht="13.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80"/>
      <c r="AE44" s="80"/>
      <c r="AF44" s="80"/>
      <c r="AG44" s="80"/>
      <c r="AH44" s="17"/>
      <c r="AI44" s="17"/>
      <c r="AJ44" s="17"/>
    </row>
    <row r="45" spans="1:36" ht="13.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80"/>
      <c r="AE45" s="80"/>
      <c r="AF45" s="80"/>
      <c r="AG45" s="80"/>
      <c r="AH45" s="17"/>
      <c r="AI45" s="17"/>
      <c r="AJ45" s="17"/>
    </row>
    <row r="46" spans="1:36" ht="13.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80"/>
      <c r="AE46" s="80"/>
      <c r="AF46" s="80"/>
      <c r="AG46" s="80"/>
      <c r="AH46" s="17"/>
      <c r="AI46" s="17"/>
      <c r="AJ46" s="17"/>
    </row>
    <row r="47" spans="1:36" ht="13.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80"/>
      <c r="AE47" s="80"/>
      <c r="AF47" s="80"/>
      <c r="AG47" s="80"/>
      <c r="AH47" s="17"/>
      <c r="AI47" s="17"/>
      <c r="AJ47" s="17"/>
    </row>
    <row r="48" spans="1:36" ht="13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80"/>
      <c r="AE48" s="80"/>
      <c r="AF48" s="80"/>
      <c r="AG48" s="80"/>
      <c r="AH48" s="17"/>
      <c r="AI48" s="17"/>
      <c r="AJ48" s="17"/>
    </row>
    <row r="49" spans="1:36" ht="13.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80"/>
      <c r="AE49" s="80"/>
      <c r="AF49" s="80"/>
      <c r="AG49" s="80"/>
      <c r="AH49" s="17"/>
      <c r="AI49" s="17"/>
      <c r="AJ49" s="17"/>
    </row>
    <row r="50" spans="1:36" ht="13.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80"/>
      <c r="AE50" s="80"/>
      <c r="AF50" s="80"/>
      <c r="AG50" s="80"/>
      <c r="AH50" s="17"/>
      <c r="AI50" s="17"/>
      <c r="AJ50" s="17"/>
    </row>
    <row r="51" spans="1:36" ht="13.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80"/>
      <c r="AE51" s="80"/>
      <c r="AF51" s="80"/>
      <c r="AG51" s="80"/>
      <c r="AH51" s="17"/>
      <c r="AI51" s="17"/>
      <c r="AJ51" s="17"/>
    </row>
    <row r="52" spans="1:36" ht="13.5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17"/>
      <c r="AE52" s="17"/>
      <c r="AF52" s="17"/>
      <c r="AG52" s="17"/>
      <c r="AH52" s="17"/>
      <c r="AI52" s="17"/>
      <c r="AJ52" s="17"/>
    </row>
    <row r="53" spans="1:36" ht="13.5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17"/>
      <c r="AE53" s="17"/>
      <c r="AF53" s="17"/>
      <c r="AG53" s="17"/>
      <c r="AH53" s="17"/>
      <c r="AI53" s="17"/>
      <c r="AJ53" s="17"/>
    </row>
    <row r="54" spans="1:36" ht="13.5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17"/>
      <c r="AE54" s="17"/>
      <c r="AF54" s="17"/>
      <c r="AG54" s="17"/>
      <c r="AH54" s="17"/>
      <c r="AI54" s="17"/>
      <c r="AJ54" s="17"/>
    </row>
    <row r="55" spans="1:36" ht="13.5">
      <c r="A55" s="219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17"/>
      <c r="AE55" s="17"/>
      <c r="AF55" s="17"/>
      <c r="AG55" s="17"/>
      <c r="AH55" s="17"/>
      <c r="AI55" s="17"/>
      <c r="AJ55" s="17"/>
    </row>
    <row r="56" spans="1:36" ht="13.5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17"/>
      <c r="AE56" s="17"/>
      <c r="AF56" s="17"/>
      <c r="AG56" s="17"/>
      <c r="AH56" s="17"/>
      <c r="AI56" s="17"/>
      <c r="AJ56" s="17"/>
    </row>
    <row r="57" spans="1:36" ht="13.5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17"/>
      <c r="AE57" s="17"/>
      <c r="AF57" s="17"/>
      <c r="AG57" s="17"/>
      <c r="AH57" s="17"/>
      <c r="AI57" s="17"/>
      <c r="AJ57" s="17"/>
    </row>
  </sheetData>
  <sheetProtection sheet="1" objects="1" scenarios="1"/>
  <mergeCells count="39">
    <mergeCell ref="AF4:AF5"/>
    <mergeCell ref="AB20:AC20"/>
    <mergeCell ref="Q10:S10"/>
    <mergeCell ref="Q11:S11"/>
    <mergeCell ref="Y36:Y37"/>
    <mergeCell ref="Y22:AA23"/>
    <mergeCell ref="O15:R15"/>
    <mergeCell ref="U36:U37"/>
    <mergeCell ref="V35:X35"/>
    <mergeCell ref="R35:S35"/>
    <mergeCell ref="Q36:Q37"/>
    <mergeCell ref="V36:X37"/>
    <mergeCell ref="S43:U43"/>
    <mergeCell ref="V40:X40"/>
    <mergeCell ref="O38:P38"/>
    <mergeCell ref="V39:X39"/>
    <mergeCell ref="V38:X38"/>
    <mergeCell ref="J4:M4"/>
    <mergeCell ref="P4:Q4"/>
    <mergeCell ref="M5:N5"/>
    <mergeCell ref="O5:Q5"/>
    <mergeCell ref="M6:N6"/>
    <mergeCell ref="O6:Q6"/>
    <mergeCell ref="M7:N7"/>
    <mergeCell ref="R37:S37"/>
    <mergeCell ref="O35:P35"/>
    <mergeCell ref="L13:O13"/>
    <mergeCell ref="R13:U13"/>
    <mergeCell ref="R36:S36"/>
    <mergeCell ref="H43:J43"/>
    <mergeCell ref="O43:Q43"/>
    <mergeCell ref="O7:Q7"/>
    <mergeCell ref="G36:K37"/>
    <mergeCell ref="L36:M37"/>
    <mergeCell ref="N36:N37"/>
    <mergeCell ref="O36:P37"/>
    <mergeCell ref="M43:N43"/>
    <mergeCell ref="L35:M35"/>
    <mergeCell ref="L38:M38"/>
  </mergeCells>
  <dataValidations count="1">
    <dataValidation type="list" allowBlank="1" showInputMessage="1" showErrorMessage="1" sqref="J4:M4">
      <formula1>$AF$6:$AF$7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Y126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8.8984375" style="438" customWidth="1"/>
    <col min="2" max="2" width="8.3984375" style="438" customWidth="1"/>
    <col min="3" max="9" width="9.3984375" style="438" customWidth="1"/>
    <col min="10" max="10" width="6.09765625" style="438" customWidth="1"/>
    <col min="11" max="11" width="9" style="438" customWidth="1"/>
    <col min="12" max="12" width="10.3984375" style="438" customWidth="1"/>
    <col min="13" max="16384" width="9" style="438" customWidth="1"/>
  </cols>
  <sheetData>
    <row r="1" spans="1:51" ht="27" customHeight="1" thickBot="1">
      <c r="A1" s="431" t="s">
        <v>672</v>
      </c>
      <c r="B1" s="432"/>
      <c r="C1" s="432"/>
      <c r="D1" s="433" t="s">
        <v>673</v>
      </c>
      <c r="E1" s="432"/>
      <c r="F1" s="432"/>
      <c r="G1" s="434" t="s">
        <v>674</v>
      </c>
      <c r="H1" s="432"/>
      <c r="I1" s="435">
        <f>IF(M30&gt;=2,"○の個数は１個にして下さい",IF(M30&lt;=0,"どこか１箇所に○印をつけて下さい",VLOOKUP(L2,M8:N29,2,FALSE)))</f>
        <v>14</v>
      </c>
      <c r="J1" s="433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7"/>
      <c r="AW1" s="437"/>
      <c r="AX1" s="437"/>
      <c r="AY1" s="437"/>
    </row>
    <row r="2" spans="1:51" ht="18" customHeight="1">
      <c r="A2" s="692" t="s">
        <v>675</v>
      </c>
      <c r="B2" s="705" t="s">
        <v>676</v>
      </c>
      <c r="C2" s="710" t="s">
        <v>677</v>
      </c>
      <c r="D2" s="711"/>
      <c r="E2" s="711"/>
      <c r="F2" s="711"/>
      <c r="G2" s="711"/>
      <c r="H2" s="711"/>
      <c r="I2" s="712"/>
      <c r="J2" s="703" t="s">
        <v>678</v>
      </c>
      <c r="K2" s="436"/>
      <c r="L2" s="439" t="s">
        <v>679</v>
      </c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7"/>
      <c r="AW2" s="437"/>
      <c r="AX2" s="437"/>
      <c r="AY2" s="437"/>
    </row>
    <row r="3" spans="1:51" ht="18" customHeight="1">
      <c r="A3" s="702"/>
      <c r="B3" s="706"/>
      <c r="C3" s="713"/>
      <c r="D3" s="714"/>
      <c r="E3" s="714"/>
      <c r="F3" s="714"/>
      <c r="G3" s="714"/>
      <c r="H3" s="714"/>
      <c r="I3" s="714"/>
      <c r="J3" s="704"/>
      <c r="K3" s="436"/>
      <c r="L3" s="439" t="s">
        <v>680</v>
      </c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7"/>
      <c r="AW3" s="437"/>
      <c r="AX3" s="437"/>
      <c r="AY3" s="437"/>
    </row>
    <row r="4" spans="1:51" ht="18" customHeight="1">
      <c r="A4" s="707" t="s">
        <v>681</v>
      </c>
      <c r="B4" s="692">
        <v>16</v>
      </c>
      <c r="C4" s="441" t="s">
        <v>682</v>
      </c>
      <c r="D4" s="442"/>
      <c r="E4" s="442"/>
      <c r="F4" s="442"/>
      <c r="G4" s="443"/>
      <c r="H4" s="443"/>
      <c r="I4" s="442"/>
      <c r="J4" s="690" t="s">
        <v>1</v>
      </c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7"/>
      <c r="AW4" s="437"/>
      <c r="AX4" s="437"/>
      <c r="AY4" s="437"/>
    </row>
    <row r="5" spans="1:51" ht="18" customHeight="1">
      <c r="A5" s="708"/>
      <c r="B5" s="693"/>
      <c r="C5" s="441" t="s">
        <v>683</v>
      </c>
      <c r="D5" s="442"/>
      <c r="E5" s="442"/>
      <c r="F5" s="442"/>
      <c r="G5" s="442"/>
      <c r="H5" s="442"/>
      <c r="I5" s="442"/>
      <c r="J5" s="697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7"/>
      <c r="AW5" s="437"/>
      <c r="AX5" s="437"/>
      <c r="AY5" s="437"/>
    </row>
    <row r="6" spans="1:51" ht="18" customHeight="1">
      <c r="A6" s="708"/>
      <c r="B6" s="693"/>
      <c r="C6" s="444" t="s">
        <v>684</v>
      </c>
      <c r="D6" s="445"/>
      <c r="E6" s="445"/>
      <c r="F6" s="445"/>
      <c r="G6" s="442"/>
      <c r="H6" s="442"/>
      <c r="I6" s="442"/>
      <c r="J6" s="700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7"/>
      <c r="AW6" s="437"/>
      <c r="AX6" s="437"/>
      <c r="AY6" s="437"/>
    </row>
    <row r="7" spans="1:51" ht="18" customHeight="1">
      <c r="A7" s="708"/>
      <c r="B7" s="701">
        <v>18</v>
      </c>
      <c r="C7" s="446" t="s">
        <v>685</v>
      </c>
      <c r="D7" s="447"/>
      <c r="E7" s="447"/>
      <c r="F7" s="447"/>
      <c r="G7" s="447"/>
      <c r="H7" s="447"/>
      <c r="I7" s="447"/>
      <c r="J7" s="690" t="s">
        <v>1</v>
      </c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7"/>
      <c r="AW7" s="437"/>
      <c r="AX7" s="437"/>
      <c r="AY7" s="437"/>
    </row>
    <row r="8" spans="1:51" ht="18" customHeight="1">
      <c r="A8" s="708"/>
      <c r="B8" s="693"/>
      <c r="C8" s="442" t="s">
        <v>686</v>
      </c>
      <c r="D8" s="442"/>
      <c r="E8" s="442"/>
      <c r="F8" s="442"/>
      <c r="G8" s="442"/>
      <c r="H8" s="442"/>
      <c r="I8" s="442"/>
      <c r="J8" s="697"/>
      <c r="K8" s="448">
        <v>1</v>
      </c>
      <c r="L8" s="692" t="s">
        <v>687</v>
      </c>
      <c r="M8" s="449" t="str">
        <f>J4</f>
        <v>×</v>
      </c>
      <c r="N8" s="450">
        <v>16</v>
      </c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7"/>
      <c r="AW8" s="437"/>
      <c r="AX8" s="437"/>
      <c r="AY8" s="437"/>
    </row>
    <row r="9" spans="1:51" ht="18" customHeight="1">
      <c r="A9" s="708"/>
      <c r="B9" s="693"/>
      <c r="C9" s="442" t="s">
        <v>688</v>
      </c>
      <c r="D9" s="442"/>
      <c r="E9" s="442"/>
      <c r="F9" s="442"/>
      <c r="G9" s="451"/>
      <c r="H9" s="451"/>
      <c r="I9" s="451"/>
      <c r="J9" s="700"/>
      <c r="K9" s="448">
        <v>2</v>
      </c>
      <c r="L9" s="693"/>
      <c r="M9" s="452" t="str">
        <f>J7</f>
        <v>×</v>
      </c>
      <c r="N9" s="453">
        <v>18</v>
      </c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7"/>
      <c r="AW9" s="437"/>
      <c r="AX9" s="437"/>
      <c r="AY9" s="437"/>
    </row>
    <row r="10" spans="1:51" ht="18" customHeight="1">
      <c r="A10" s="708"/>
      <c r="B10" s="715">
        <v>20</v>
      </c>
      <c r="C10" s="446" t="s">
        <v>689</v>
      </c>
      <c r="D10" s="447"/>
      <c r="E10" s="447"/>
      <c r="F10" s="447"/>
      <c r="G10" s="454"/>
      <c r="H10" s="454"/>
      <c r="I10" s="454"/>
      <c r="J10" s="690" t="s">
        <v>1</v>
      </c>
      <c r="K10" s="448">
        <v>3</v>
      </c>
      <c r="L10" s="694"/>
      <c r="M10" s="456" t="str">
        <f>J10</f>
        <v>×</v>
      </c>
      <c r="N10" s="457">
        <v>20</v>
      </c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7"/>
      <c r="AW10" s="437"/>
      <c r="AX10" s="437"/>
      <c r="AY10" s="437"/>
    </row>
    <row r="11" spans="1:51" ht="18" customHeight="1">
      <c r="A11" s="708"/>
      <c r="B11" s="716"/>
      <c r="C11" s="441" t="s">
        <v>690</v>
      </c>
      <c r="D11" s="442"/>
      <c r="E11" s="442"/>
      <c r="F11" s="442"/>
      <c r="G11" s="442"/>
      <c r="H11" s="445"/>
      <c r="I11" s="445"/>
      <c r="J11" s="691"/>
      <c r="K11" s="448">
        <v>4</v>
      </c>
      <c r="L11" s="692" t="s">
        <v>691</v>
      </c>
      <c r="M11" s="449" t="str">
        <f>J12</f>
        <v>×</v>
      </c>
      <c r="N11" s="450">
        <v>16</v>
      </c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7"/>
      <c r="AW11" s="437"/>
      <c r="AX11" s="437"/>
      <c r="AY11" s="437"/>
    </row>
    <row r="12" spans="1:51" ht="18" customHeight="1">
      <c r="A12" s="701" t="s">
        <v>691</v>
      </c>
      <c r="B12" s="439">
        <v>16</v>
      </c>
      <c r="C12" s="458" t="s">
        <v>692</v>
      </c>
      <c r="D12" s="459"/>
      <c r="E12" s="459"/>
      <c r="F12" s="459"/>
      <c r="G12" s="459"/>
      <c r="H12" s="459"/>
      <c r="I12" s="459"/>
      <c r="J12" s="460" t="s">
        <v>1</v>
      </c>
      <c r="K12" s="448">
        <v>5</v>
      </c>
      <c r="L12" s="693"/>
      <c r="M12" s="452" t="str">
        <f>J13</f>
        <v>×</v>
      </c>
      <c r="N12" s="453">
        <v>18</v>
      </c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6"/>
      <c r="AT12" s="436"/>
      <c r="AU12" s="436"/>
      <c r="AV12" s="437"/>
      <c r="AW12" s="437"/>
      <c r="AX12" s="437"/>
      <c r="AY12" s="437"/>
    </row>
    <row r="13" spans="1:51" ht="18" customHeight="1">
      <c r="A13" s="693"/>
      <c r="B13" s="716">
        <v>18</v>
      </c>
      <c r="C13" s="446" t="s">
        <v>693</v>
      </c>
      <c r="D13" s="447"/>
      <c r="E13" s="447"/>
      <c r="F13" s="447"/>
      <c r="G13" s="447"/>
      <c r="H13" s="447"/>
      <c r="I13" s="447"/>
      <c r="J13" s="690" t="s">
        <v>1</v>
      </c>
      <c r="K13" s="448">
        <v>6</v>
      </c>
      <c r="L13" s="694"/>
      <c r="M13" s="456" t="str">
        <f>J16</f>
        <v>×</v>
      </c>
      <c r="N13" s="457">
        <v>20</v>
      </c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7"/>
      <c r="AW13" s="437"/>
      <c r="AX13" s="437"/>
      <c r="AY13" s="437"/>
    </row>
    <row r="14" spans="1:51" ht="18" customHeight="1">
      <c r="A14" s="693"/>
      <c r="B14" s="716"/>
      <c r="C14" s="441" t="s">
        <v>694</v>
      </c>
      <c r="D14" s="442"/>
      <c r="E14" s="442"/>
      <c r="F14" s="442"/>
      <c r="G14" s="442"/>
      <c r="H14" s="442"/>
      <c r="I14" s="442"/>
      <c r="J14" s="697"/>
      <c r="K14" s="448">
        <v>7</v>
      </c>
      <c r="L14" s="692" t="s">
        <v>695</v>
      </c>
      <c r="M14" s="449" t="str">
        <f>J17</f>
        <v>×</v>
      </c>
      <c r="N14" s="450">
        <v>16</v>
      </c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7"/>
      <c r="AW14" s="437"/>
      <c r="AX14" s="437"/>
      <c r="AY14" s="437"/>
    </row>
    <row r="15" spans="1:51" ht="18" customHeight="1">
      <c r="A15" s="693"/>
      <c r="B15" s="716"/>
      <c r="C15" s="444" t="s">
        <v>696</v>
      </c>
      <c r="D15" s="445"/>
      <c r="E15" s="445"/>
      <c r="F15" s="445"/>
      <c r="G15" s="445"/>
      <c r="H15" s="445"/>
      <c r="I15" s="442"/>
      <c r="J15" s="700"/>
      <c r="K15" s="448">
        <v>8</v>
      </c>
      <c r="L15" s="693"/>
      <c r="M15" s="452" t="str">
        <f>J25</f>
        <v>×</v>
      </c>
      <c r="N15" s="453">
        <v>18</v>
      </c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7"/>
      <c r="AW15" s="437"/>
      <c r="AX15" s="437"/>
      <c r="AY15" s="437"/>
    </row>
    <row r="16" spans="1:51" ht="18" customHeight="1">
      <c r="A16" s="702"/>
      <c r="B16" s="439">
        <v>20</v>
      </c>
      <c r="C16" s="458" t="s">
        <v>697</v>
      </c>
      <c r="D16" s="459"/>
      <c r="E16" s="459"/>
      <c r="F16" s="459"/>
      <c r="G16" s="459"/>
      <c r="H16" s="459"/>
      <c r="I16" s="459"/>
      <c r="J16" s="460" t="s">
        <v>1</v>
      </c>
      <c r="K16" s="448">
        <v>9</v>
      </c>
      <c r="L16" s="694"/>
      <c r="M16" s="456" t="str">
        <f>J28</f>
        <v>×</v>
      </c>
      <c r="N16" s="457">
        <v>20</v>
      </c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7"/>
      <c r="AW16" s="437"/>
      <c r="AX16" s="437"/>
      <c r="AY16" s="437"/>
    </row>
    <row r="17" spans="1:51" ht="18" customHeight="1">
      <c r="A17" s="707" t="s">
        <v>698</v>
      </c>
      <c r="B17" s="692">
        <v>16</v>
      </c>
      <c r="C17" s="441" t="s">
        <v>699</v>
      </c>
      <c r="D17" s="442"/>
      <c r="E17" s="442"/>
      <c r="F17" s="442"/>
      <c r="G17" s="442"/>
      <c r="H17" s="442"/>
      <c r="I17" s="442"/>
      <c r="J17" s="699" t="s">
        <v>1</v>
      </c>
      <c r="K17" s="448">
        <v>10</v>
      </c>
      <c r="L17" s="692" t="s">
        <v>700</v>
      </c>
      <c r="M17" s="449" t="str">
        <f>J30</f>
        <v>×</v>
      </c>
      <c r="N17" s="449">
        <v>16</v>
      </c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7"/>
      <c r="AW17" s="437"/>
      <c r="AX17" s="437"/>
      <c r="AY17" s="437"/>
    </row>
    <row r="18" spans="1:51" ht="18" customHeight="1">
      <c r="A18" s="708"/>
      <c r="B18" s="693"/>
      <c r="C18" s="441" t="s">
        <v>701</v>
      </c>
      <c r="D18" s="442"/>
      <c r="E18" s="442"/>
      <c r="F18" s="442"/>
      <c r="G18" s="442"/>
      <c r="H18" s="442"/>
      <c r="I18" s="442"/>
      <c r="J18" s="698"/>
      <c r="K18" s="448">
        <v>11</v>
      </c>
      <c r="L18" s="694"/>
      <c r="M18" s="456" t="str">
        <f>J37</f>
        <v>×</v>
      </c>
      <c r="N18" s="456">
        <v>18</v>
      </c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7"/>
      <c r="AW18" s="437"/>
      <c r="AX18" s="437"/>
      <c r="AY18" s="437"/>
    </row>
    <row r="19" spans="1:51" ht="18" customHeight="1">
      <c r="A19" s="708"/>
      <c r="B19" s="693"/>
      <c r="C19" s="441" t="s">
        <v>702</v>
      </c>
      <c r="D19" s="442"/>
      <c r="E19" s="442"/>
      <c r="F19" s="442"/>
      <c r="G19" s="442"/>
      <c r="H19" s="442"/>
      <c r="I19" s="442"/>
      <c r="J19" s="698"/>
      <c r="K19" s="448">
        <v>12</v>
      </c>
      <c r="L19" s="692" t="s">
        <v>703</v>
      </c>
      <c r="M19" s="449" t="str">
        <f>J43</f>
        <v>×</v>
      </c>
      <c r="N19" s="449">
        <v>16</v>
      </c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7"/>
      <c r="AW19" s="437"/>
      <c r="AX19" s="437"/>
      <c r="AY19" s="437"/>
    </row>
    <row r="20" spans="1:51" ht="18" customHeight="1">
      <c r="A20" s="708"/>
      <c r="B20" s="693"/>
      <c r="C20" s="441" t="s">
        <v>704</v>
      </c>
      <c r="D20" s="442"/>
      <c r="E20" s="442"/>
      <c r="F20" s="442"/>
      <c r="G20" s="442"/>
      <c r="H20" s="442"/>
      <c r="I20" s="442"/>
      <c r="J20" s="698"/>
      <c r="K20" s="448">
        <v>13</v>
      </c>
      <c r="L20" s="694"/>
      <c r="M20" s="456" t="str">
        <f>J49</f>
        <v>×</v>
      </c>
      <c r="N20" s="456">
        <v>18</v>
      </c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7"/>
      <c r="AW20" s="437"/>
      <c r="AX20" s="437"/>
      <c r="AY20" s="437"/>
    </row>
    <row r="21" spans="1:51" ht="18" customHeight="1">
      <c r="A21" s="708"/>
      <c r="B21" s="693"/>
      <c r="C21" s="441" t="s">
        <v>705</v>
      </c>
      <c r="D21" s="442"/>
      <c r="E21" s="442"/>
      <c r="F21" s="442"/>
      <c r="G21" s="442"/>
      <c r="H21" s="442"/>
      <c r="I21" s="442"/>
      <c r="J21" s="698"/>
      <c r="K21" s="448">
        <v>14</v>
      </c>
      <c r="L21" s="692" t="s">
        <v>706</v>
      </c>
      <c r="M21" s="449" t="str">
        <f>J52</f>
        <v>×</v>
      </c>
      <c r="N21" s="449">
        <v>16</v>
      </c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7"/>
      <c r="AW21" s="437"/>
      <c r="AX21" s="437"/>
      <c r="AY21" s="437"/>
    </row>
    <row r="22" spans="1:51" ht="18" customHeight="1">
      <c r="A22" s="708"/>
      <c r="B22" s="693"/>
      <c r="C22" s="441" t="s">
        <v>707</v>
      </c>
      <c r="D22" s="442"/>
      <c r="E22" s="442"/>
      <c r="F22" s="442"/>
      <c r="G22" s="442"/>
      <c r="H22" s="442"/>
      <c r="I22" s="442"/>
      <c r="J22" s="698"/>
      <c r="K22" s="448">
        <v>15</v>
      </c>
      <c r="L22" s="694"/>
      <c r="M22" s="456" t="str">
        <f>J54</f>
        <v>×</v>
      </c>
      <c r="N22" s="456">
        <v>18</v>
      </c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7"/>
      <c r="AW22" s="437"/>
      <c r="AX22" s="437"/>
      <c r="AY22" s="437"/>
    </row>
    <row r="23" spans="1:51" ht="18" customHeight="1">
      <c r="A23" s="708"/>
      <c r="B23" s="693"/>
      <c r="C23" s="441" t="s">
        <v>708</v>
      </c>
      <c r="D23" s="442"/>
      <c r="E23" s="442"/>
      <c r="F23" s="442"/>
      <c r="G23" s="442"/>
      <c r="H23" s="442"/>
      <c r="I23" s="442"/>
      <c r="J23" s="698"/>
      <c r="K23" s="448">
        <v>16</v>
      </c>
      <c r="L23" s="692" t="s">
        <v>709</v>
      </c>
      <c r="M23" s="449" t="str">
        <f>J55</f>
        <v>×</v>
      </c>
      <c r="N23" s="450">
        <v>16</v>
      </c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7"/>
      <c r="AW23" s="437"/>
      <c r="AX23" s="437"/>
      <c r="AY23" s="437"/>
    </row>
    <row r="24" spans="1:51" ht="18" customHeight="1">
      <c r="A24" s="708"/>
      <c r="B24" s="702"/>
      <c r="C24" s="444" t="s">
        <v>710</v>
      </c>
      <c r="D24" s="445"/>
      <c r="E24" s="445"/>
      <c r="F24" s="445"/>
      <c r="G24" s="445"/>
      <c r="H24" s="445"/>
      <c r="I24" s="445"/>
      <c r="J24" s="691"/>
      <c r="K24" s="448">
        <v>17</v>
      </c>
      <c r="L24" s="693"/>
      <c r="M24" s="452" t="str">
        <f>J59</f>
        <v>×</v>
      </c>
      <c r="N24" s="453">
        <v>18</v>
      </c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7"/>
      <c r="AW24" s="437"/>
      <c r="AX24" s="437"/>
      <c r="AY24" s="437"/>
    </row>
    <row r="25" spans="1:51" ht="18" customHeight="1">
      <c r="A25" s="708"/>
      <c r="B25" s="701">
        <v>18</v>
      </c>
      <c r="C25" s="441" t="s">
        <v>711</v>
      </c>
      <c r="D25" s="442"/>
      <c r="E25" s="442"/>
      <c r="F25" s="442"/>
      <c r="G25" s="442"/>
      <c r="H25" s="442"/>
      <c r="I25" s="442"/>
      <c r="J25" s="690" t="s">
        <v>1</v>
      </c>
      <c r="K25" s="448">
        <v>18</v>
      </c>
      <c r="L25" s="694"/>
      <c r="M25" s="456" t="str">
        <f>J61</f>
        <v>×</v>
      </c>
      <c r="N25" s="457">
        <v>20</v>
      </c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437"/>
      <c r="AW25" s="437"/>
      <c r="AX25" s="437"/>
      <c r="AY25" s="437"/>
    </row>
    <row r="26" spans="1:51" ht="18" customHeight="1">
      <c r="A26" s="708"/>
      <c r="B26" s="693"/>
      <c r="C26" s="441" t="s">
        <v>712</v>
      </c>
      <c r="D26" s="442"/>
      <c r="E26" s="442"/>
      <c r="F26" s="442"/>
      <c r="G26" s="442"/>
      <c r="H26" s="442"/>
      <c r="I26" s="442"/>
      <c r="J26" s="697"/>
      <c r="K26" s="448">
        <v>19</v>
      </c>
      <c r="L26" s="692" t="s">
        <v>713</v>
      </c>
      <c r="M26" s="449" t="str">
        <f>J62</f>
        <v>×</v>
      </c>
      <c r="N26" s="449">
        <v>16</v>
      </c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7"/>
      <c r="AW26" s="437"/>
      <c r="AX26" s="437"/>
      <c r="AY26" s="437"/>
    </row>
    <row r="27" spans="1:51" ht="18" customHeight="1">
      <c r="A27" s="708"/>
      <c r="B27" s="702"/>
      <c r="C27" s="441" t="s">
        <v>714</v>
      </c>
      <c r="D27" s="442"/>
      <c r="E27" s="442"/>
      <c r="F27" s="442"/>
      <c r="G27" s="442"/>
      <c r="H27" s="442"/>
      <c r="I27" s="442"/>
      <c r="J27" s="700"/>
      <c r="K27" s="448">
        <v>20</v>
      </c>
      <c r="L27" s="694"/>
      <c r="M27" s="456" t="str">
        <f>J67</f>
        <v>×</v>
      </c>
      <c r="N27" s="456">
        <v>18</v>
      </c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7"/>
      <c r="AW27" s="437"/>
      <c r="AX27" s="437"/>
      <c r="AY27" s="437"/>
    </row>
    <row r="28" spans="1:51" ht="18" customHeight="1">
      <c r="A28" s="708"/>
      <c r="B28" s="701">
        <v>20</v>
      </c>
      <c r="C28" s="446" t="s">
        <v>715</v>
      </c>
      <c r="D28" s="447"/>
      <c r="E28" s="447"/>
      <c r="F28" s="447"/>
      <c r="G28" s="447"/>
      <c r="H28" s="447"/>
      <c r="I28" s="447"/>
      <c r="J28" s="690" t="s">
        <v>1</v>
      </c>
      <c r="K28" s="448">
        <v>21</v>
      </c>
      <c r="L28" s="439" t="s">
        <v>716</v>
      </c>
      <c r="M28" s="439" t="str">
        <f>J69</f>
        <v>×</v>
      </c>
      <c r="N28" s="439">
        <v>18</v>
      </c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7"/>
      <c r="AW28" s="437"/>
      <c r="AX28" s="437"/>
      <c r="AY28" s="437"/>
    </row>
    <row r="29" spans="1:51" ht="18" customHeight="1">
      <c r="A29" s="709"/>
      <c r="B29" s="702"/>
      <c r="C29" s="444" t="s">
        <v>717</v>
      </c>
      <c r="D29" s="445"/>
      <c r="E29" s="445"/>
      <c r="F29" s="445"/>
      <c r="G29" s="445"/>
      <c r="H29" s="445"/>
      <c r="I29" s="445"/>
      <c r="J29" s="691"/>
      <c r="K29" s="448">
        <v>22</v>
      </c>
      <c r="L29" s="439" t="s">
        <v>718</v>
      </c>
      <c r="M29" s="439" t="str">
        <f>J70</f>
        <v>○</v>
      </c>
      <c r="N29" s="439">
        <v>14</v>
      </c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7"/>
      <c r="AW29" s="437"/>
      <c r="AX29" s="437"/>
      <c r="AY29" s="437"/>
    </row>
    <row r="30" spans="1:51" ht="18" customHeight="1">
      <c r="A30" s="701" t="s">
        <v>719</v>
      </c>
      <c r="B30" s="692">
        <v>16</v>
      </c>
      <c r="C30" s="441" t="s">
        <v>720</v>
      </c>
      <c r="D30" s="442"/>
      <c r="E30" s="442"/>
      <c r="F30" s="442"/>
      <c r="G30" s="442"/>
      <c r="H30" s="442"/>
      <c r="I30" s="442"/>
      <c r="J30" s="699" t="s">
        <v>1</v>
      </c>
      <c r="K30" s="436"/>
      <c r="L30" s="436" t="s">
        <v>721</v>
      </c>
      <c r="M30" s="436">
        <f>COUNTIF(M8:M29,"○")</f>
        <v>1</v>
      </c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7"/>
      <c r="AW30" s="437"/>
      <c r="AX30" s="437"/>
      <c r="AY30" s="437"/>
    </row>
    <row r="31" spans="1:51" ht="18" customHeight="1">
      <c r="A31" s="693"/>
      <c r="B31" s="693"/>
      <c r="C31" s="441" t="s">
        <v>722</v>
      </c>
      <c r="D31" s="442"/>
      <c r="E31" s="442"/>
      <c r="F31" s="442"/>
      <c r="G31" s="442"/>
      <c r="H31" s="442"/>
      <c r="I31" s="442"/>
      <c r="J31" s="698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7"/>
      <c r="AW31" s="437"/>
      <c r="AX31" s="437"/>
      <c r="AY31" s="437"/>
    </row>
    <row r="32" spans="1:51" ht="18" customHeight="1">
      <c r="A32" s="693"/>
      <c r="B32" s="693"/>
      <c r="C32" s="441" t="s">
        <v>723</v>
      </c>
      <c r="D32" s="442"/>
      <c r="E32" s="442"/>
      <c r="F32" s="442"/>
      <c r="G32" s="442"/>
      <c r="H32" s="442"/>
      <c r="I32" s="442"/>
      <c r="J32" s="698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7"/>
      <c r="AW32" s="437"/>
      <c r="AX32" s="437"/>
      <c r="AY32" s="437"/>
    </row>
    <row r="33" spans="1:51" ht="18" customHeight="1">
      <c r="A33" s="693"/>
      <c r="B33" s="693"/>
      <c r="C33" s="441" t="s">
        <v>724</v>
      </c>
      <c r="D33" s="442"/>
      <c r="E33" s="442"/>
      <c r="F33" s="442"/>
      <c r="G33" s="442"/>
      <c r="H33" s="442"/>
      <c r="I33" s="442"/>
      <c r="J33" s="698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7"/>
      <c r="AW33" s="437"/>
      <c r="AX33" s="437"/>
      <c r="AY33" s="437"/>
    </row>
    <row r="34" spans="1:51" ht="18" customHeight="1">
      <c r="A34" s="693"/>
      <c r="B34" s="693"/>
      <c r="C34" s="441" t="s">
        <v>725</v>
      </c>
      <c r="D34" s="442"/>
      <c r="E34" s="442"/>
      <c r="F34" s="442"/>
      <c r="G34" s="442"/>
      <c r="H34" s="442"/>
      <c r="I34" s="442"/>
      <c r="J34" s="698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436"/>
      <c r="AQ34" s="436"/>
      <c r="AR34" s="436"/>
      <c r="AS34" s="436"/>
      <c r="AT34" s="436"/>
      <c r="AU34" s="436"/>
      <c r="AV34" s="437"/>
      <c r="AW34" s="437"/>
      <c r="AX34" s="437"/>
      <c r="AY34" s="437"/>
    </row>
    <row r="35" spans="1:51" ht="18" customHeight="1">
      <c r="A35" s="693"/>
      <c r="B35" s="693"/>
      <c r="C35" s="441" t="s">
        <v>726</v>
      </c>
      <c r="D35" s="442"/>
      <c r="E35" s="442"/>
      <c r="F35" s="442"/>
      <c r="G35" s="442"/>
      <c r="H35" s="442"/>
      <c r="I35" s="442"/>
      <c r="J35" s="698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436"/>
      <c r="AS35" s="436"/>
      <c r="AT35" s="436"/>
      <c r="AU35" s="436"/>
      <c r="AV35" s="437"/>
      <c r="AW35" s="437"/>
      <c r="AX35" s="437"/>
      <c r="AY35" s="437"/>
    </row>
    <row r="36" spans="1:51" ht="18" customHeight="1">
      <c r="A36" s="693"/>
      <c r="B36" s="702"/>
      <c r="C36" s="444" t="s">
        <v>727</v>
      </c>
      <c r="D36" s="445"/>
      <c r="E36" s="445"/>
      <c r="F36" s="445"/>
      <c r="G36" s="445"/>
      <c r="H36" s="445"/>
      <c r="I36" s="445"/>
      <c r="J36" s="691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436"/>
      <c r="AH36" s="436"/>
      <c r="AI36" s="436"/>
      <c r="AJ36" s="436"/>
      <c r="AK36" s="436"/>
      <c r="AL36" s="436"/>
      <c r="AM36" s="436"/>
      <c r="AN36" s="436"/>
      <c r="AO36" s="436"/>
      <c r="AP36" s="436"/>
      <c r="AQ36" s="436"/>
      <c r="AR36" s="436"/>
      <c r="AS36" s="436"/>
      <c r="AT36" s="436"/>
      <c r="AU36" s="436"/>
      <c r="AV36" s="437"/>
      <c r="AW36" s="437"/>
      <c r="AX36" s="437"/>
      <c r="AY36" s="437"/>
    </row>
    <row r="37" spans="1:51" ht="18" customHeight="1">
      <c r="A37" s="693"/>
      <c r="B37" s="701">
        <v>18</v>
      </c>
      <c r="C37" s="446" t="s">
        <v>728</v>
      </c>
      <c r="D37" s="447"/>
      <c r="E37" s="447"/>
      <c r="F37" s="447"/>
      <c r="G37" s="447"/>
      <c r="H37" s="442"/>
      <c r="I37" s="442"/>
      <c r="J37" s="695" t="s">
        <v>1</v>
      </c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6"/>
      <c r="AS37" s="436"/>
      <c r="AT37" s="436"/>
      <c r="AU37" s="436"/>
      <c r="AV37" s="437"/>
      <c r="AW37" s="437"/>
      <c r="AX37" s="437"/>
      <c r="AY37" s="437"/>
    </row>
    <row r="38" spans="1:51" ht="18" customHeight="1">
      <c r="A38" s="693"/>
      <c r="B38" s="693"/>
      <c r="C38" s="441" t="s">
        <v>729</v>
      </c>
      <c r="D38" s="442"/>
      <c r="E38" s="442"/>
      <c r="F38" s="442"/>
      <c r="G38" s="442"/>
      <c r="H38" s="442"/>
      <c r="I38" s="442"/>
      <c r="J38" s="69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6"/>
      <c r="AT38" s="436"/>
      <c r="AU38" s="436"/>
      <c r="AV38" s="437"/>
      <c r="AW38" s="437"/>
      <c r="AX38" s="437"/>
      <c r="AY38" s="437"/>
    </row>
    <row r="39" spans="1:51" ht="18" customHeight="1">
      <c r="A39" s="693"/>
      <c r="B39" s="693"/>
      <c r="C39" s="441" t="s">
        <v>730</v>
      </c>
      <c r="D39" s="442"/>
      <c r="E39" s="442"/>
      <c r="F39" s="442"/>
      <c r="G39" s="442"/>
      <c r="H39" s="442"/>
      <c r="I39" s="442"/>
      <c r="J39" s="69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7"/>
      <c r="AW39" s="437"/>
      <c r="AX39" s="437"/>
      <c r="AY39" s="437"/>
    </row>
    <row r="40" spans="1:51" ht="18" customHeight="1">
      <c r="A40" s="693"/>
      <c r="B40" s="693"/>
      <c r="C40" s="441" t="s">
        <v>731</v>
      </c>
      <c r="D40" s="442"/>
      <c r="E40" s="442"/>
      <c r="F40" s="442"/>
      <c r="G40" s="442"/>
      <c r="H40" s="442"/>
      <c r="I40" s="442"/>
      <c r="J40" s="69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6"/>
      <c r="AS40" s="436"/>
      <c r="AT40" s="436"/>
      <c r="AU40" s="436"/>
      <c r="AV40" s="437"/>
      <c r="AW40" s="437"/>
      <c r="AX40" s="437"/>
      <c r="AY40" s="437"/>
    </row>
    <row r="41" spans="1:51" ht="18" customHeight="1">
      <c r="A41" s="693"/>
      <c r="B41" s="693"/>
      <c r="C41" s="441" t="s">
        <v>732</v>
      </c>
      <c r="D41" s="442"/>
      <c r="E41" s="442"/>
      <c r="F41" s="442"/>
      <c r="G41" s="442"/>
      <c r="H41" s="442"/>
      <c r="I41" s="442"/>
      <c r="J41" s="69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7"/>
      <c r="AW41" s="437"/>
      <c r="AX41" s="437"/>
      <c r="AY41" s="437"/>
    </row>
    <row r="42" spans="1:51" ht="18" customHeight="1">
      <c r="A42" s="693"/>
      <c r="B42" s="693"/>
      <c r="C42" s="441" t="s">
        <v>733</v>
      </c>
      <c r="D42" s="442"/>
      <c r="E42" s="442"/>
      <c r="F42" s="442"/>
      <c r="G42" s="442"/>
      <c r="H42" s="445"/>
      <c r="I42" s="445"/>
      <c r="J42" s="69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6"/>
      <c r="AS42" s="436"/>
      <c r="AT42" s="436"/>
      <c r="AU42" s="436"/>
      <c r="AV42" s="437"/>
      <c r="AW42" s="437"/>
      <c r="AX42" s="437"/>
      <c r="AY42" s="437"/>
    </row>
    <row r="43" spans="1:51" ht="18" customHeight="1">
      <c r="A43" s="701" t="s">
        <v>703</v>
      </c>
      <c r="B43" s="701">
        <v>16</v>
      </c>
      <c r="C43" s="446" t="s">
        <v>734</v>
      </c>
      <c r="D43" s="447"/>
      <c r="E43" s="447"/>
      <c r="F43" s="447"/>
      <c r="G43" s="447"/>
      <c r="H43" s="447"/>
      <c r="I43" s="447"/>
      <c r="J43" s="695" t="s">
        <v>1</v>
      </c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7"/>
      <c r="AW43" s="437"/>
      <c r="AX43" s="437"/>
      <c r="AY43" s="437"/>
    </row>
    <row r="44" spans="1:51" ht="18" customHeight="1">
      <c r="A44" s="693"/>
      <c r="B44" s="693"/>
      <c r="C44" s="441" t="s">
        <v>735</v>
      </c>
      <c r="D44" s="442"/>
      <c r="E44" s="442"/>
      <c r="F44" s="442"/>
      <c r="G44" s="442"/>
      <c r="H44" s="442"/>
      <c r="I44" s="442"/>
      <c r="J44" s="69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7"/>
      <c r="AW44" s="437"/>
      <c r="AX44" s="437"/>
      <c r="AY44" s="437"/>
    </row>
    <row r="45" spans="1:51" ht="18" customHeight="1">
      <c r="A45" s="693"/>
      <c r="B45" s="693"/>
      <c r="C45" s="441" t="s">
        <v>736</v>
      </c>
      <c r="D45" s="442"/>
      <c r="E45" s="442"/>
      <c r="F45" s="442"/>
      <c r="G45" s="442"/>
      <c r="H45" s="442"/>
      <c r="I45" s="442"/>
      <c r="J45" s="69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7"/>
      <c r="AW45" s="437"/>
      <c r="AX45" s="437"/>
      <c r="AY45" s="437"/>
    </row>
    <row r="46" spans="1:51" ht="18" customHeight="1">
      <c r="A46" s="693"/>
      <c r="B46" s="693"/>
      <c r="C46" s="441" t="s">
        <v>737</v>
      </c>
      <c r="D46" s="442"/>
      <c r="E46" s="442"/>
      <c r="F46" s="442"/>
      <c r="G46" s="442"/>
      <c r="H46" s="442"/>
      <c r="I46" s="442"/>
      <c r="J46" s="69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7"/>
      <c r="AW46" s="437"/>
      <c r="AX46" s="437"/>
      <c r="AY46" s="437"/>
    </row>
    <row r="47" spans="1:51" ht="18" customHeight="1">
      <c r="A47" s="693"/>
      <c r="B47" s="693"/>
      <c r="C47" s="441" t="s">
        <v>738</v>
      </c>
      <c r="D47" s="442"/>
      <c r="E47" s="442"/>
      <c r="F47" s="442"/>
      <c r="G47" s="442"/>
      <c r="H47" s="442"/>
      <c r="I47" s="442"/>
      <c r="J47" s="69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7"/>
      <c r="AW47" s="437"/>
      <c r="AX47" s="437"/>
      <c r="AY47" s="437"/>
    </row>
    <row r="48" spans="1:51" ht="18" customHeight="1">
      <c r="A48" s="693"/>
      <c r="B48" s="702"/>
      <c r="C48" s="444" t="s">
        <v>739</v>
      </c>
      <c r="D48" s="445"/>
      <c r="E48" s="445"/>
      <c r="F48" s="445"/>
      <c r="G48" s="445"/>
      <c r="H48" s="445"/>
      <c r="I48" s="445"/>
      <c r="J48" s="69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6"/>
      <c r="AS48" s="436"/>
      <c r="AT48" s="436"/>
      <c r="AU48" s="436"/>
      <c r="AV48" s="437"/>
      <c r="AW48" s="437"/>
      <c r="AX48" s="437"/>
      <c r="AY48" s="437"/>
    </row>
    <row r="49" spans="1:51" ht="18" customHeight="1">
      <c r="A49" s="693"/>
      <c r="B49" s="701">
        <v>18</v>
      </c>
      <c r="C49" s="446" t="s">
        <v>740</v>
      </c>
      <c r="D49" s="447"/>
      <c r="E49" s="447"/>
      <c r="F49" s="447"/>
      <c r="G49" s="447"/>
      <c r="H49" s="447"/>
      <c r="I49" s="447"/>
      <c r="J49" s="697" t="s">
        <v>1</v>
      </c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36"/>
      <c r="AV49" s="437"/>
      <c r="AW49" s="437"/>
      <c r="AX49" s="437"/>
      <c r="AY49" s="437"/>
    </row>
    <row r="50" spans="1:51" ht="18" customHeight="1">
      <c r="A50" s="693"/>
      <c r="B50" s="693"/>
      <c r="C50" s="441" t="s">
        <v>741</v>
      </c>
      <c r="D50" s="442"/>
      <c r="E50" s="442"/>
      <c r="F50" s="442"/>
      <c r="G50" s="442"/>
      <c r="H50" s="442"/>
      <c r="I50" s="442"/>
      <c r="J50" s="697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7"/>
      <c r="AW50" s="437"/>
      <c r="AX50" s="437"/>
      <c r="AY50" s="437"/>
    </row>
    <row r="51" spans="1:51" ht="18" customHeight="1">
      <c r="A51" s="702"/>
      <c r="B51" s="702"/>
      <c r="C51" s="444" t="s">
        <v>742</v>
      </c>
      <c r="D51" s="445"/>
      <c r="E51" s="445"/>
      <c r="F51" s="445"/>
      <c r="G51" s="445"/>
      <c r="H51" s="445"/>
      <c r="I51" s="445"/>
      <c r="J51" s="700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P51" s="436"/>
      <c r="AQ51" s="436"/>
      <c r="AR51" s="436"/>
      <c r="AS51" s="436"/>
      <c r="AT51" s="436"/>
      <c r="AU51" s="436"/>
      <c r="AV51" s="437"/>
      <c r="AW51" s="437"/>
      <c r="AX51" s="437"/>
      <c r="AY51" s="437"/>
    </row>
    <row r="52" spans="1:51" ht="18" customHeight="1">
      <c r="A52" s="701" t="s">
        <v>706</v>
      </c>
      <c r="B52" s="701">
        <v>16</v>
      </c>
      <c r="C52" s="446" t="s">
        <v>743</v>
      </c>
      <c r="D52" s="447"/>
      <c r="E52" s="447"/>
      <c r="F52" s="447"/>
      <c r="G52" s="447"/>
      <c r="H52" s="447"/>
      <c r="I52" s="447"/>
      <c r="J52" s="690" t="s">
        <v>1</v>
      </c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7"/>
      <c r="AW52" s="437"/>
      <c r="AX52" s="437"/>
      <c r="AY52" s="437"/>
    </row>
    <row r="53" spans="1:51" ht="18" customHeight="1">
      <c r="A53" s="693"/>
      <c r="B53" s="702"/>
      <c r="C53" s="444" t="s">
        <v>744</v>
      </c>
      <c r="D53" s="445"/>
      <c r="E53" s="445"/>
      <c r="F53" s="445"/>
      <c r="G53" s="445"/>
      <c r="H53" s="445"/>
      <c r="I53" s="445"/>
      <c r="J53" s="691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6"/>
      <c r="AT53" s="436"/>
      <c r="AU53" s="436"/>
      <c r="AV53" s="437"/>
      <c r="AW53" s="437"/>
      <c r="AX53" s="437"/>
      <c r="AY53" s="437"/>
    </row>
    <row r="54" spans="1:51" ht="18" customHeight="1">
      <c r="A54" s="702"/>
      <c r="B54" s="436">
        <v>18</v>
      </c>
      <c r="C54" s="458" t="s">
        <v>745</v>
      </c>
      <c r="D54" s="459"/>
      <c r="E54" s="445"/>
      <c r="F54" s="445"/>
      <c r="G54" s="445"/>
      <c r="H54" s="445"/>
      <c r="I54" s="445"/>
      <c r="J54" s="460" t="s">
        <v>1</v>
      </c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7"/>
      <c r="AW54" s="437"/>
      <c r="AX54" s="437"/>
      <c r="AY54" s="437"/>
    </row>
    <row r="55" spans="1:51" ht="18" customHeight="1">
      <c r="A55" s="701" t="s">
        <v>709</v>
      </c>
      <c r="B55" s="692">
        <v>16</v>
      </c>
      <c r="C55" s="447" t="s">
        <v>746</v>
      </c>
      <c r="D55" s="447"/>
      <c r="E55" s="447"/>
      <c r="F55" s="447"/>
      <c r="G55" s="447"/>
      <c r="H55" s="447"/>
      <c r="I55" s="447"/>
      <c r="J55" s="697" t="s">
        <v>1</v>
      </c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7"/>
      <c r="AW55" s="437"/>
      <c r="AX55" s="437"/>
      <c r="AY55" s="437"/>
    </row>
    <row r="56" spans="1:51" ht="18" customHeight="1">
      <c r="A56" s="693"/>
      <c r="B56" s="693"/>
      <c r="C56" s="442" t="s">
        <v>747</v>
      </c>
      <c r="D56" s="442"/>
      <c r="E56" s="442"/>
      <c r="F56" s="442"/>
      <c r="G56" s="442"/>
      <c r="H56" s="442"/>
      <c r="I56" s="442"/>
      <c r="J56" s="698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7"/>
      <c r="AW56" s="437"/>
      <c r="AX56" s="437"/>
      <c r="AY56" s="437"/>
    </row>
    <row r="57" spans="1:51" ht="18" customHeight="1">
      <c r="A57" s="693"/>
      <c r="B57" s="693"/>
      <c r="C57" s="442" t="s">
        <v>748</v>
      </c>
      <c r="D57" s="442"/>
      <c r="E57" s="442"/>
      <c r="F57" s="442"/>
      <c r="G57" s="442"/>
      <c r="H57" s="442"/>
      <c r="I57" s="442"/>
      <c r="J57" s="698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7"/>
      <c r="AW57" s="437"/>
      <c r="AX57" s="437"/>
      <c r="AY57" s="437"/>
    </row>
    <row r="58" spans="1:51" ht="18" customHeight="1">
      <c r="A58" s="693"/>
      <c r="B58" s="702"/>
      <c r="C58" s="442" t="s">
        <v>749</v>
      </c>
      <c r="D58" s="442"/>
      <c r="E58" s="442"/>
      <c r="F58" s="442"/>
      <c r="G58" s="442"/>
      <c r="H58" s="442"/>
      <c r="I58" s="442"/>
      <c r="J58" s="691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7"/>
      <c r="AW58" s="437"/>
      <c r="AX58" s="437"/>
      <c r="AY58" s="437"/>
    </row>
    <row r="59" spans="1:51" ht="18" customHeight="1">
      <c r="A59" s="693"/>
      <c r="B59" s="701">
        <v>18</v>
      </c>
      <c r="C59" s="446" t="s">
        <v>750</v>
      </c>
      <c r="D59" s="447"/>
      <c r="E59" s="447"/>
      <c r="F59" s="447"/>
      <c r="G59" s="447"/>
      <c r="H59" s="447"/>
      <c r="I59" s="447"/>
      <c r="J59" s="690" t="s">
        <v>1</v>
      </c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6"/>
      <c r="AS59" s="436"/>
      <c r="AT59" s="436"/>
      <c r="AU59" s="436"/>
      <c r="AV59" s="437"/>
      <c r="AW59" s="437"/>
      <c r="AX59" s="437"/>
      <c r="AY59" s="437"/>
    </row>
    <row r="60" spans="1:51" ht="18" customHeight="1">
      <c r="A60" s="693"/>
      <c r="B60" s="702"/>
      <c r="C60" s="444" t="s">
        <v>751</v>
      </c>
      <c r="D60" s="445"/>
      <c r="E60" s="445"/>
      <c r="F60" s="445"/>
      <c r="G60" s="445"/>
      <c r="H60" s="445"/>
      <c r="I60" s="445"/>
      <c r="J60" s="691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436"/>
      <c r="AI60" s="436"/>
      <c r="AJ60" s="436"/>
      <c r="AK60" s="436"/>
      <c r="AL60" s="436"/>
      <c r="AM60" s="436"/>
      <c r="AN60" s="436"/>
      <c r="AO60" s="436"/>
      <c r="AP60" s="436"/>
      <c r="AQ60" s="436"/>
      <c r="AR60" s="436"/>
      <c r="AS60" s="436"/>
      <c r="AT60" s="436"/>
      <c r="AU60" s="436"/>
      <c r="AV60" s="437"/>
      <c r="AW60" s="437"/>
      <c r="AX60" s="437"/>
      <c r="AY60" s="437"/>
    </row>
    <row r="61" spans="1:51" ht="18" customHeight="1">
      <c r="A61" s="702"/>
      <c r="B61" s="440">
        <v>20</v>
      </c>
      <c r="C61" s="444" t="s">
        <v>752</v>
      </c>
      <c r="D61" s="445"/>
      <c r="E61" s="445"/>
      <c r="F61" s="445"/>
      <c r="G61" s="445"/>
      <c r="H61" s="445"/>
      <c r="I61" s="445"/>
      <c r="J61" s="460" t="s">
        <v>1</v>
      </c>
      <c r="K61" s="436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6"/>
      <c r="AA61" s="436"/>
      <c r="AB61" s="436"/>
      <c r="AC61" s="436"/>
      <c r="AD61" s="436"/>
      <c r="AE61" s="436"/>
      <c r="AF61" s="436"/>
      <c r="AG61" s="436"/>
      <c r="AH61" s="436"/>
      <c r="AI61" s="436"/>
      <c r="AJ61" s="436"/>
      <c r="AK61" s="436"/>
      <c r="AL61" s="436"/>
      <c r="AM61" s="436"/>
      <c r="AN61" s="436"/>
      <c r="AO61" s="436"/>
      <c r="AP61" s="436"/>
      <c r="AQ61" s="436"/>
      <c r="AR61" s="436"/>
      <c r="AS61" s="436"/>
      <c r="AT61" s="436"/>
      <c r="AU61" s="436"/>
      <c r="AV61" s="437"/>
      <c r="AW61" s="437"/>
      <c r="AX61" s="437"/>
      <c r="AY61" s="437"/>
    </row>
    <row r="62" spans="1:51" ht="18" customHeight="1">
      <c r="A62" s="701" t="s">
        <v>713</v>
      </c>
      <c r="B62" s="692">
        <v>16</v>
      </c>
      <c r="C62" s="446" t="s">
        <v>753</v>
      </c>
      <c r="D62" s="447"/>
      <c r="E62" s="447"/>
      <c r="F62" s="447"/>
      <c r="G62" s="447"/>
      <c r="H62" s="442"/>
      <c r="I62" s="442"/>
      <c r="J62" s="699" t="s">
        <v>1</v>
      </c>
      <c r="K62" s="436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6"/>
      <c r="AA62" s="436"/>
      <c r="AB62" s="436"/>
      <c r="AC62" s="436"/>
      <c r="AD62" s="436"/>
      <c r="AE62" s="436"/>
      <c r="AF62" s="436"/>
      <c r="AG62" s="436"/>
      <c r="AH62" s="436"/>
      <c r="AI62" s="436"/>
      <c r="AJ62" s="436"/>
      <c r="AK62" s="436"/>
      <c r="AL62" s="436"/>
      <c r="AM62" s="436"/>
      <c r="AN62" s="436"/>
      <c r="AO62" s="436"/>
      <c r="AP62" s="436"/>
      <c r="AQ62" s="436"/>
      <c r="AR62" s="436"/>
      <c r="AS62" s="436"/>
      <c r="AT62" s="436"/>
      <c r="AU62" s="436"/>
      <c r="AV62" s="437"/>
      <c r="AW62" s="437"/>
      <c r="AX62" s="437"/>
      <c r="AY62" s="437"/>
    </row>
    <row r="63" spans="1:51" ht="18" customHeight="1">
      <c r="A63" s="693"/>
      <c r="B63" s="693"/>
      <c r="C63" s="441" t="s">
        <v>754</v>
      </c>
      <c r="D63" s="442"/>
      <c r="E63" s="442"/>
      <c r="F63" s="442"/>
      <c r="G63" s="442"/>
      <c r="H63" s="442"/>
      <c r="I63" s="442"/>
      <c r="J63" s="697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6"/>
      <c r="AJ63" s="436"/>
      <c r="AK63" s="436"/>
      <c r="AL63" s="436"/>
      <c r="AM63" s="436"/>
      <c r="AN63" s="436"/>
      <c r="AO63" s="436"/>
      <c r="AP63" s="436"/>
      <c r="AQ63" s="436"/>
      <c r="AR63" s="436"/>
      <c r="AS63" s="436"/>
      <c r="AT63" s="436"/>
      <c r="AU63" s="436"/>
      <c r="AV63" s="437"/>
      <c r="AW63" s="437"/>
      <c r="AX63" s="437"/>
      <c r="AY63" s="437"/>
    </row>
    <row r="64" spans="1:51" ht="18" customHeight="1">
      <c r="A64" s="693"/>
      <c r="B64" s="693"/>
      <c r="C64" s="441" t="s">
        <v>755</v>
      </c>
      <c r="D64" s="442"/>
      <c r="E64" s="442"/>
      <c r="F64" s="442"/>
      <c r="G64" s="442"/>
      <c r="H64" s="442"/>
      <c r="I64" s="442"/>
      <c r="J64" s="697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6"/>
      <c r="AA64" s="436"/>
      <c r="AB64" s="436"/>
      <c r="AC64" s="436"/>
      <c r="AD64" s="436"/>
      <c r="AE64" s="436"/>
      <c r="AF64" s="436"/>
      <c r="AG64" s="436"/>
      <c r="AH64" s="436"/>
      <c r="AI64" s="436"/>
      <c r="AJ64" s="436"/>
      <c r="AK64" s="436"/>
      <c r="AL64" s="436"/>
      <c r="AM64" s="436"/>
      <c r="AN64" s="436"/>
      <c r="AO64" s="436"/>
      <c r="AP64" s="436"/>
      <c r="AQ64" s="436"/>
      <c r="AR64" s="436"/>
      <c r="AS64" s="436"/>
      <c r="AT64" s="436"/>
      <c r="AU64" s="436"/>
      <c r="AV64" s="437"/>
      <c r="AW64" s="437"/>
      <c r="AX64" s="437"/>
      <c r="AY64" s="437"/>
    </row>
    <row r="65" spans="1:51" ht="18" customHeight="1">
      <c r="A65" s="693"/>
      <c r="B65" s="693"/>
      <c r="C65" s="441" t="s">
        <v>756</v>
      </c>
      <c r="D65" s="442"/>
      <c r="E65" s="442"/>
      <c r="F65" s="442"/>
      <c r="G65" s="442"/>
      <c r="H65" s="442"/>
      <c r="I65" s="442"/>
      <c r="J65" s="697"/>
      <c r="K65" s="436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6"/>
      <c r="Y65" s="436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6"/>
      <c r="AL65" s="436"/>
      <c r="AM65" s="436"/>
      <c r="AN65" s="436"/>
      <c r="AO65" s="436"/>
      <c r="AP65" s="436"/>
      <c r="AQ65" s="436"/>
      <c r="AR65" s="436"/>
      <c r="AS65" s="436"/>
      <c r="AT65" s="436"/>
      <c r="AU65" s="436"/>
      <c r="AV65" s="437"/>
      <c r="AW65" s="437"/>
      <c r="AX65" s="437"/>
      <c r="AY65" s="437"/>
    </row>
    <row r="66" spans="1:51" ht="18" customHeight="1">
      <c r="A66" s="693"/>
      <c r="B66" s="693"/>
      <c r="C66" s="441" t="s">
        <v>757</v>
      </c>
      <c r="D66" s="442"/>
      <c r="E66" s="442"/>
      <c r="F66" s="442"/>
      <c r="G66" s="442"/>
      <c r="H66" s="442"/>
      <c r="I66" s="442"/>
      <c r="J66" s="700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6"/>
      <c r="Z66" s="436"/>
      <c r="AA66" s="436"/>
      <c r="AB66" s="436"/>
      <c r="AC66" s="436"/>
      <c r="AD66" s="436"/>
      <c r="AE66" s="436"/>
      <c r="AF66" s="436"/>
      <c r="AG66" s="436"/>
      <c r="AH66" s="436"/>
      <c r="AI66" s="436"/>
      <c r="AJ66" s="436"/>
      <c r="AK66" s="436"/>
      <c r="AL66" s="436"/>
      <c r="AM66" s="436"/>
      <c r="AN66" s="436"/>
      <c r="AO66" s="436"/>
      <c r="AP66" s="436"/>
      <c r="AQ66" s="436"/>
      <c r="AR66" s="436"/>
      <c r="AS66" s="436"/>
      <c r="AT66" s="436"/>
      <c r="AU66" s="436"/>
      <c r="AV66" s="437"/>
      <c r="AW66" s="437"/>
      <c r="AX66" s="437"/>
      <c r="AY66" s="437"/>
    </row>
    <row r="67" spans="1:51" ht="18" customHeight="1">
      <c r="A67" s="693"/>
      <c r="B67" s="701">
        <v>18</v>
      </c>
      <c r="C67" s="446" t="s">
        <v>758</v>
      </c>
      <c r="D67" s="447"/>
      <c r="E67" s="447"/>
      <c r="F67" s="447"/>
      <c r="G67" s="447"/>
      <c r="H67" s="447"/>
      <c r="I67" s="447"/>
      <c r="J67" s="690" t="s">
        <v>1</v>
      </c>
      <c r="K67" s="436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436"/>
      <c r="Z67" s="436"/>
      <c r="AA67" s="436"/>
      <c r="AB67" s="436"/>
      <c r="AC67" s="436"/>
      <c r="AD67" s="436"/>
      <c r="AE67" s="436"/>
      <c r="AF67" s="436"/>
      <c r="AG67" s="436"/>
      <c r="AH67" s="436"/>
      <c r="AI67" s="436"/>
      <c r="AJ67" s="436"/>
      <c r="AK67" s="436"/>
      <c r="AL67" s="436"/>
      <c r="AM67" s="436"/>
      <c r="AN67" s="436"/>
      <c r="AO67" s="436"/>
      <c r="AP67" s="436"/>
      <c r="AQ67" s="436"/>
      <c r="AR67" s="436"/>
      <c r="AS67" s="436"/>
      <c r="AT67" s="436"/>
      <c r="AU67" s="436"/>
      <c r="AV67" s="437"/>
      <c r="AW67" s="437"/>
      <c r="AX67" s="437"/>
      <c r="AY67" s="437"/>
    </row>
    <row r="68" spans="1:51" ht="18" customHeight="1">
      <c r="A68" s="702"/>
      <c r="B68" s="702"/>
      <c r="C68" s="444" t="s">
        <v>759</v>
      </c>
      <c r="D68" s="445"/>
      <c r="E68" s="445"/>
      <c r="F68" s="445"/>
      <c r="G68" s="445"/>
      <c r="H68" s="445"/>
      <c r="I68" s="445"/>
      <c r="J68" s="691"/>
      <c r="K68" s="436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6"/>
      <c r="Y68" s="436"/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6"/>
      <c r="AK68" s="436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/>
      <c r="AV68" s="437"/>
      <c r="AW68" s="437"/>
      <c r="AX68" s="437"/>
      <c r="AY68" s="437"/>
    </row>
    <row r="69" spans="1:51" ht="18" customHeight="1">
      <c r="A69" s="455" t="s">
        <v>716</v>
      </c>
      <c r="B69" s="440">
        <v>18</v>
      </c>
      <c r="C69" s="458" t="s">
        <v>760</v>
      </c>
      <c r="D69" s="459"/>
      <c r="E69" s="445"/>
      <c r="F69" s="445"/>
      <c r="G69" s="445"/>
      <c r="H69" s="445"/>
      <c r="I69" s="445"/>
      <c r="J69" s="460" t="s">
        <v>1</v>
      </c>
      <c r="K69" s="436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6"/>
      <c r="Y69" s="436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  <c r="AV69" s="437"/>
      <c r="AW69" s="437"/>
      <c r="AX69" s="437"/>
      <c r="AY69" s="437"/>
    </row>
    <row r="70" spans="1:51" ht="18" customHeight="1">
      <c r="A70" s="461" t="s">
        <v>718</v>
      </c>
      <c r="B70" s="462">
        <v>14</v>
      </c>
      <c r="C70" s="463" t="s">
        <v>761</v>
      </c>
      <c r="D70" s="464"/>
      <c r="E70" s="465"/>
      <c r="F70" s="465"/>
      <c r="G70" s="465"/>
      <c r="H70" s="465"/>
      <c r="I70" s="465"/>
      <c r="J70" s="466" t="s">
        <v>671</v>
      </c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6"/>
      <c r="Y70" s="436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7"/>
      <c r="AW70" s="437"/>
      <c r="AX70" s="437"/>
      <c r="AY70" s="437"/>
    </row>
    <row r="71" spans="1:10" ht="18" customHeight="1">
      <c r="A71" s="467"/>
      <c r="B71" s="467"/>
      <c r="C71" s="467"/>
      <c r="D71" s="467"/>
      <c r="E71" s="467"/>
      <c r="F71" s="467"/>
      <c r="G71" s="467"/>
      <c r="H71" s="467"/>
      <c r="I71" s="467"/>
      <c r="J71" s="467"/>
    </row>
    <row r="72" spans="1:10" ht="18" customHeight="1">
      <c r="A72" s="467"/>
      <c r="B72" s="467"/>
      <c r="C72" s="467"/>
      <c r="D72" s="467"/>
      <c r="E72" s="467"/>
      <c r="F72" s="467"/>
      <c r="G72" s="467"/>
      <c r="H72" s="467"/>
      <c r="I72" s="467"/>
      <c r="J72" s="467"/>
    </row>
    <row r="73" spans="1:10" ht="18" customHeight="1">
      <c r="A73" s="467"/>
      <c r="B73" s="467"/>
      <c r="C73" s="467"/>
      <c r="D73" s="467"/>
      <c r="E73" s="467"/>
      <c r="F73" s="467"/>
      <c r="G73" s="467"/>
      <c r="H73" s="467"/>
      <c r="I73" s="467"/>
      <c r="J73" s="467"/>
    </row>
    <row r="74" spans="1:10" ht="18" customHeight="1">
      <c r="A74" s="467"/>
      <c r="B74" s="467"/>
      <c r="C74" s="467"/>
      <c r="D74" s="467"/>
      <c r="E74" s="467"/>
      <c r="F74" s="467"/>
      <c r="G74" s="467"/>
      <c r="H74" s="467"/>
      <c r="I74" s="467"/>
      <c r="J74" s="467"/>
    </row>
    <row r="75" spans="1:10" ht="18" customHeight="1">
      <c r="A75" s="467"/>
      <c r="B75" s="467"/>
      <c r="C75" s="467"/>
      <c r="D75" s="467"/>
      <c r="E75" s="467"/>
      <c r="F75" s="467"/>
      <c r="G75" s="467"/>
      <c r="H75" s="467"/>
      <c r="I75" s="467"/>
      <c r="J75" s="467"/>
    </row>
    <row r="76" spans="1:10" ht="18" customHeight="1">
      <c r="A76" s="467"/>
      <c r="B76" s="467"/>
      <c r="C76" s="467"/>
      <c r="D76" s="467"/>
      <c r="E76" s="467"/>
      <c r="F76" s="467"/>
      <c r="G76" s="467"/>
      <c r="H76" s="467"/>
      <c r="I76" s="467"/>
      <c r="J76" s="467"/>
    </row>
    <row r="77" spans="1:10" ht="18" customHeight="1">
      <c r="A77" s="467"/>
      <c r="B77" s="467"/>
      <c r="C77" s="467"/>
      <c r="D77" s="467"/>
      <c r="E77" s="467"/>
      <c r="F77" s="467"/>
      <c r="G77" s="467"/>
      <c r="H77" s="467"/>
      <c r="I77" s="467"/>
      <c r="J77" s="467"/>
    </row>
    <row r="78" spans="1:10" ht="18" customHeight="1">
      <c r="A78" s="467"/>
      <c r="B78" s="467"/>
      <c r="C78" s="467"/>
      <c r="D78" s="467"/>
      <c r="E78" s="467"/>
      <c r="F78" s="467"/>
      <c r="G78" s="467"/>
      <c r="H78" s="467"/>
      <c r="I78" s="467"/>
      <c r="J78" s="467"/>
    </row>
    <row r="79" spans="1:10" ht="18" customHeight="1">
      <c r="A79" s="467"/>
      <c r="B79" s="467"/>
      <c r="C79" s="467"/>
      <c r="D79" s="467"/>
      <c r="E79" s="467"/>
      <c r="F79" s="467"/>
      <c r="G79" s="467"/>
      <c r="H79" s="467"/>
      <c r="I79" s="467"/>
      <c r="J79" s="467"/>
    </row>
    <row r="80" spans="1:10" ht="18" customHeight="1">
      <c r="A80" s="467"/>
      <c r="B80" s="467"/>
      <c r="C80" s="467"/>
      <c r="D80" s="467"/>
      <c r="E80" s="467"/>
      <c r="F80" s="467"/>
      <c r="G80" s="467"/>
      <c r="H80" s="467"/>
      <c r="I80" s="467"/>
      <c r="J80" s="467"/>
    </row>
    <row r="81" spans="1:10" ht="18" customHeight="1">
      <c r="A81" s="467"/>
      <c r="B81" s="467"/>
      <c r="C81" s="467"/>
      <c r="D81" s="467"/>
      <c r="E81" s="467"/>
      <c r="F81" s="467"/>
      <c r="G81" s="467"/>
      <c r="H81" s="467"/>
      <c r="I81" s="467"/>
      <c r="J81" s="467"/>
    </row>
    <row r="82" spans="1:10" ht="18" customHeight="1">
      <c r="A82" s="467"/>
      <c r="B82" s="467"/>
      <c r="C82" s="467"/>
      <c r="D82" s="467"/>
      <c r="E82" s="467"/>
      <c r="F82" s="467"/>
      <c r="G82" s="467"/>
      <c r="H82" s="467"/>
      <c r="I82" s="467"/>
      <c r="J82" s="467"/>
    </row>
    <row r="83" spans="1:10" ht="18" customHeight="1">
      <c r="A83" s="467"/>
      <c r="B83" s="467"/>
      <c r="C83" s="467"/>
      <c r="D83" s="467"/>
      <c r="E83" s="467"/>
      <c r="F83" s="467"/>
      <c r="G83" s="467"/>
      <c r="H83" s="467"/>
      <c r="I83" s="467"/>
      <c r="J83" s="467"/>
    </row>
    <row r="84" spans="1:10" ht="18" customHeight="1">
      <c r="A84" s="467"/>
      <c r="B84" s="467"/>
      <c r="C84" s="467"/>
      <c r="D84" s="467"/>
      <c r="E84" s="467"/>
      <c r="F84" s="467"/>
      <c r="G84" s="467"/>
      <c r="H84" s="467"/>
      <c r="I84" s="467"/>
      <c r="J84" s="467"/>
    </row>
    <row r="85" spans="1:10" ht="18" customHeight="1">
      <c r="A85" s="467"/>
      <c r="B85" s="467"/>
      <c r="C85" s="467"/>
      <c r="D85" s="467"/>
      <c r="E85" s="467"/>
      <c r="F85" s="467"/>
      <c r="G85" s="467"/>
      <c r="H85" s="467"/>
      <c r="I85" s="467"/>
      <c r="J85" s="467"/>
    </row>
    <row r="86" spans="1:10" ht="18" customHeight="1">
      <c r="A86" s="467"/>
      <c r="B86" s="467"/>
      <c r="C86" s="467"/>
      <c r="D86" s="467"/>
      <c r="E86" s="467"/>
      <c r="F86" s="467"/>
      <c r="G86" s="467"/>
      <c r="H86" s="467"/>
      <c r="I86" s="467"/>
      <c r="J86" s="467"/>
    </row>
    <row r="87" spans="1:10" ht="18" customHeight="1">
      <c r="A87" s="467"/>
      <c r="B87" s="467"/>
      <c r="C87" s="467"/>
      <c r="D87" s="467"/>
      <c r="E87" s="467"/>
      <c r="F87" s="467"/>
      <c r="G87" s="467"/>
      <c r="H87" s="467"/>
      <c r="I87" s="467"/>
      <c r="J87" s="467"/>
    </row>
    <row r="88" spans="1:10" ht="18" customHeight="1">
      <c r="A88" s="467"/>
      <c r="B88" s="467"/>
      <c r="C88" s="467"/>
      <c r="D88" s="467"/>
      <c r="E88" s="467"/>
      <c r="F88" s="467"/>
      <c r="G88" s="467"/>
      <c r="H88" s="467"/>
      <c r="I88" s="467"/>
      <c r="J88" s="467"/>
    </row>
    <row r="89" spans="1:10" ht="18" customHeight="1">
      <c r="A89" s="467"/>
      <c r="B89" s="467"/>
      <c r="C89" s="467"/>
      <c r="D89" s="467"/>
      <c r="E89" s="467"/>
      <c r="F89" s="467"/>
      <c r="G89" s="467"/>
      <c r="H89" s="467"/>
      <c r="I89" s="467"/>
      <c r="J89" s="467"/>
    </row>
    <row r="90" spans="1:10" ht="18" customHeight="1">
      <c r="A90" s="467"/>
      <c r="B90" s="467"/>
      <c r="C90" s="467"/>
      <c r="D90" s="467"/>
      <c r="E90" s="467"/>
      <c r="F90" s="467"/>
      <c r="G90" s="467"/>
      <c r="H90" s="467"/>
      <c r="I90" s="467"/>
      <c r="J90" s="467"/>
    </row>
    <row r="91" spans="1:10" ht="18" customHeight="1">
      <c r="A91" s="467"/>
      <c r="B91" s="467"/>
      <c r="C91" s="467"/>
      <c r="D91" s="467"/>
      <c r="E91" s="467"/>
      <c r="F91" s="467"/>
      <c r="G91" s="467"/>
      <c r="H91" s="467"/>
      <c r="I91" s="467"/>
      <c r="J91" s="467"/>
    </row>
    <row r="92" spans="1:10" ht="18" customHeight="1">
      <c r="A92" s="467"/>
      <c r="B92" s="467"/>
      <c r="C92" s="467"/>
      <c r="D92" s="467"/>
      <c r="E92" s="467"/>
      <c r="F92" s="467"/>
      <c r="G92" s="467"/>
      <c r="H92" s="467"/>
      <c r="I92" s="467"/>
      <c r="J92" s="467"/>
    </row>
    <row r="93" spans="1:10" ht="18" customHeight="1">
      <c r="A93" s="467"/>
      <c r="B93" s="467"/>
      <c r="C93" s="467"/>
      <c r="D93" s="467"/>
      <c r="E93" s="467"/>
      <c r="F93" s="467"/>
      <c r="G93" s="467"/>
      <c r="H93" s="467"/>
      <c r="I93" s="467"/>
      <c r="J93" s="467"/>
    </row>
    <row r="94" spans="1:10" ht="18" customHeight="1">
      <c r="A94" s="467"/>
      <c r="B94" s="467"/>
      <c r="C94" s="467"/>
      <c r="D94" s="467"/>
      <c r="E94" s="467"/>
      <c r="F94" s="467"/>
      <c r="G94" s="467"/>
      <c r="H94" s="467"/>
      <c r="I94" s="467"/>
      <c r="J94" s="467"/>
    </row>
    <row r="95" spans="1:10" ht="18" customHeight="1">
      <c r="A95" s="467"/>
      <c r="B95" s="467"/>
      <c r="C95" s="467"/>
      <c r="D95" s="467"/>
      <c r="E95" s="467"/>
      <c r="F95" s="467"/>
      <c r="G95" s="467"/>
      <c r="H95" s="467"/>
      <c r="I95" s="467"/>
      <c r="J95" s="467"/>
    </row>
    <row r="96" spans="1:10" ht="18" customHeight="1">
      <c r="A96" s="467"/>
      <c r="B96" s="467"/>
      <c r="C96" s="467"/>
      <c r="D96" s="467"/>
      <c r="E96" s="467"/>
      <c r="F96" s="467"/>
      <c r="G96" s="467"/>
      <c r="H96" s="467"/>
      <c r="I96" s="467"/>
      <c r="J96" s="467"/>
    </row>
    <row r="97" spans="1:10" ht="18" customHeight="1">
      <c r="A97" s="467"/>
      <c r="B97" s="467"/>
      <c r="C97" s="467"/>
      <c r="D97" s="467"/>
      <c r="E97" s="467"/>
      <c r="F97" s="467"/>
      <c r="G97" s="467"/>
      <c r="H97" s="467"/>
      <c r="I97" s="467"/>
      <c r="J97" s="467"/>
    </row>
    <row r="98" spans="1:10" ht="18" customHeight="1">
      <c r="A98" s="467"/>
      <c r="B98" s="467"/>
      <c r="C98" s="467"/>
      <c r="D98" s="467"/>
      <c r="E98" s="467"/>
      <c r="F98" s="467"/>
      <c r="G98" s="467"/>
      <c r="H98" s="467"/>
      <c r="I98" s="467"/>
      <c r="J98" s="467"/>
    </row>
    <row r="99" spans="1:10" ht="18" customHeight="1">
      <c r="A99" s="467"/>
      <c r="B99" s="467"/>
      <c r="C99" s="467"/>
      <c r="D99" s="467"/>
      <c r="E99" s="467"/>
      <c r="F99" s="467"/>
      <c r="G99" s="467"/>
      <c r="H99" s="467"/>
      <c r="I99" s="467"/>
      <c r="J99" s="467"/>
    </row>
    <row r="100" spans="1:10" ht="18" customHeight="1">
      <c r="A100" s="467"/>
      <c r="B100" s="467"/>
      <c r="C100" s="467"/>
      <c r="D100" s="467"/>
      <c r="E100" s="467"/>
      <c r="F100" s="467"/>
      <c r="G100" s="467"/>
      <c r="H100" s="467"/>
      <c r="I100" s="467"/>
      <c r="J100" s="467"/>
    </row>
    <row r="101" spans="1:10" ht="18" customHeight="1">
      <c r="A101" s="467"/>
      <c r="B101" s="467"/>
      <c r="C101" s="467"/>
      <c r="D101" s="467"/>
      <c r="E101" s="467"/>
      <c r="F101" s="467"/>
      <c r="G101" s="467"/>
      <c r="H101" s="467"/>
      <c r="I101" s="467"/>
      <c r="J101" s="467"/>
    </row>
    <row r="102" spans="1:10" ht="18" customHeight="1">
      <c r="A102" s="467"/>
      <c r="B102" s="467"/>
      <c r="C102" s="467"/>
      <c r="D102" s="467"/>
      <c r="E102" s="467"/>
      <c r="F102" s="467"/>
      <c r="G102" s="467"/>
      <c r="H102" s="467"/>
      <c r="I102" s="467"/>
      <c r="J102" s="467"/>
    </row>
    <row r="103" spans="1:10" ht="18" customHeight="1">
      <c r="A103" s="467"/>
      <c r="B103" s="467"/>
      <c r="C103" s="467"/>
      <c r="D103" s="467"/>
      <c r="E103" s="467"/>
      <c r="F103" s="467"/>
      <c r="G103" s="467"/>
      <c r="H103" s="467"/>
      <c r="I103" s="467"/>
      <c r="J103" s="467"/>
    </row>
    <row r="104" spans="1:10" ht="18" customHeight="1">
      <c r="A104" s="467"/>
      <c r="B104" s="467"/>
      <c r="C104" s="467"/>
      <c r="D104" s="467"/>
      <c r="E104" s="467"/>
      <c r="F104" s="467"/>
      <c r="G104" s="467"/>
      <c r="H104" s="467"/>
      <c r="I104" s="467"/>
      <c r="J104" s="467"/>
    </row>
    <row r="105" spans="1:10" ht="18" customHeight="1">
      <c r="A105" s="467"/>
      <c r="B105" s="467"/>
      <c r="C105" s="467"/>
      <c r="D105" s="467"/>
      <c r="E105" s="467"/>
      <c r="F105" s="467"/>
      <c r="G105" s="467"/>
      <c r="H105" s="467"/>
      <c r="I105" s="467"/>
      <c r="J105" s="467"/>
    </row>
    <row r="106" spans="1:10" ht="18" customHeight="1">
      <c r="A106" s="467"/>
      <c r="B106" s="467"/>
      <c r="C106" s="467"/>
      <c r="D106" s="467"/>
      <c r="E106" s="467"/>
      <c r="F106" s="467"/>
      <c r="G106" s="467"/>
      <c r="H106" s="467"/>
      <c r="I106" s="467"/>
      <c r="J106" s="467"/>
    </row>
    <row r="107" spans="1:10" ht="18" customHeight="1">
      <c r="A107" s="467"/>
      <c r="B107" s="467"/>
      <c r="C107" s="467"/>
      <c r="D107" s="467"/>
      <c r="E107" s="467"/>
      <c r="F107" s="467"/>
      <c r="G107" s="467"/>
      <c r="H107" s="467"/>
      <c r="I107" s="467"/>
      <c r="J107" s="467"/>
    </row>
    <row r="108" spans="1:10" ht="18" customHeight="1">
      <c r="A108" s="467"/>
      <c r="B108" s="467"/>
      <c r="C108" s="467"/>
      <c r="D108" s="467"/>
      <c r="E108" s="467"/>
      <c r="F108" s="467"/>
      <c r="G108" s="467"/>
      <c r="H108" s="467"/>
      <c r="I108" s="467"/>
      <c r="J108" s="467"/>
    </row>
    <row r="109" spans="1:10" ht="18" customHeight="1">
      <c r="A109" s="467"/>
      <c r="B109" s="467"/>
      <c r="C109" s="467"/>
      <c r="D109" s="467"/>
      <c r="E109" s="467"/>
      <c r="F109" s="467"/>
      <c r="G109" s="467"/>
      <c r="H109" s="467"/>
      <c r="I109" s="467"/>
      <c r="J109" s="467"/>
    </row>
    <row r="110" spans="1:10" ht="18" customHeight="1">
      <c r="A110" s="467"/>
      <c r="B110" s="467"/>
      <c r="C110" s="467"/>
      <c r="D110" s="467"/>
      <c r="E110" s="467"/>
      <c r="F110" s="467"/>
      <c r="G110" s="467"/>
      <c r="H110" s="467"/>
      <c r="I110" s="467"/>
      <c r="J110" s="467"/>
    </row>
    <row r="111" spans="1:10" ht="18" customHeight="1">
      <c r="A111" s="467"/>
      <c r="B111" s="467"/>
      <c r="C111" s="467"/>
      <c r="D111" s="467"/>
      <c r="E111" s="467"/>
      <c r="F111" s="467"/>
      <c r="G111" s="467"/>
      <c r="H111" s="467"/>
      <c r="I111" s="467"/>
      <c r="J111" s="467"/>
    </row>
    <row r="112" spans="1:10" ht="18" customHeight="1">
      <c r="A112" s="467"/>
      <c r="B112" s="467"/>
      <c r="C112" s="467"/>
      <c r="D112" s="467"/>
      <c r="E112" s="467"/>
      <c r="F112" s="467"/>
      <c r="G112" s="467"/>
      <c r="H112" s="467"/>
      <c r="I112" s="467"/>
      <c r="J112" s="467"/>
    </row>
    <row r="113" spans="1:10" ht="18" customHeight="1">
      <c r="A113" s="467"/>
      <c r="B113" s="467"/>
      <c r="C113" s="467"/>
      <c r="D113" s="467"/>
      <c r="E113" s="467"/>
      <c r="F113" s="467"/>
      <c r="G113" s="467"/>
      <c r="H113" s="467"/>
      <c r="I113" s="467"/>
      <c r="J113" s="467"/>
    </row>
    <row r="114" spans="1:10" ht="18" customHeight="1">
      <c r="A114" s="467"/>
      <c r="B114" s="467"/>
      <c r="C114" s="467"/>
      <c r="D114" s="467"/>
      <c r="E114" s="467"/>
      <c r="F114" s="467"/>
      <c r="G114" s="467"/>
      <c r="H114" s="467"/>
      <c r="I114" s="467"/>
      <c r="J114" s="467"/>
    </row>
    <row r="115" spans="1:10" ht="18" customHeight="1">
      <c r="A115" s="467"/>
      <c r="B115" s="467"/>
      <c r="C115" s="467"/>
      <c r="D115" s="467"/>
      <c r="E115" s="467"/>
      <c r="F115" s="467"/>
      <c r="G115" s="467"/>
      <c r="H115" s="467"/>
      <c r="I115" s="467"/>
      <c r="J115" s="467"/>
    </row>
    <row r="116" spans="1:10" ht="18" customHeight="1">
      <c r="A116" s="467"/>
      <c r="B116" s="467"/>
      <c r="C116" s="467"/>
      <c r="D116" s="467"/>
      <c r="E116" s="467"/>
      <c r="F116" s="467"/>
      <c r="G116" s="467"/>
      <c r="H116" s="467"/>
      <c r="I116" s="467"/>
      <c r="J116" s="467"/>
    </row>
    <row r="117" spans="1:10" ht="18" customHeight="1">
      <c r="A117" s="467"/>
      <c r="B117" s="467"/>
      <c r="C117" s="467"/>
      <c r="D117" s="467"/>
      <c r="E117" s="467"/>
      <c r="F117" s="467"/>
      <c r="G117" s="467"/>
      <c r="H117" s="467"/>
      <c r="I117" s="467"/>
      <c r="J117" s="467"/>
    </row>
    <row r="118" spans="1:10" ht="18" customHeight="1">
      <c r="A118" s="467"/>
      <c r="B118" s="467"/>
      <c r="C118" s="467"/>
      <c r="D118" s="467"/>
      <c r="E118" s="467"/>
      <c r="F118" s="467"/>
      <c r="G118" s="467"/>
      <c r="H118" s="467"/>
      <c r="I118" s="467"/>
      <c r="J118" s="467"/>
    </row>
    <row r="119" spans="1:10" ht="18" customHeight="1">
      <c r="A119" s="467"/>
      <c r="B119" s="467"/>
      <c r="C119" s="467"/>
      <c r="D119" s="467"/>
      <c r="E119" s="467"/>
      <c r="F119" s="467"/>
      <c r="G119" s="467"/>
      <c r="H119" s="467"/>
      <c r="I119" s="467"/>
      <c r="J119" s="467"/>
    </row>
    <row r="120" spans="1:10" ht="18" customHeight="1">
      <c r="A120" s="467"/>
      <c r="B120" s="467"/>
      <c r="C120" s="467"/>
      <c r="D120" s="467"/>
      <c r="E120" s="467"/>
      <c r="F120" s="467"/>
      <c r="G120" s="467"/>
      <c r="H120" s="467"/>
      <c r="I120" s="467"/>
      <c r="J120" s="467"/>
    </row>
    <row r="121" spans="1:10" ht="18" customHeight="1">
      <c r="A121" s="467"/>
      <c r="B121" s="467"/>
      <c r="C121" s="467"/>
      <c r="D121" s="467"/>
      <c r="E121" s="467"/>
      <c r="F121" s="467"/>
      <c r="G121" s="467"/>
      <c r="H121" s="467"/>
      <c r="I121" s="467"/>
      <c r="J121" s="467"/>
    </row>
    <row r="122" spans="1:10" ht="18" customHeight="1">
      <c r="A122" s="467"/>
      <c r="B122" s="467"/>
      <c r="C122" s="467"/>
      <c r="D122" s="467"/>
      <c r="E122" s="467"/>
      <c r="F122" s="467"/>
      <c r="G122" s="467"/>
      <c r="H122" s="467"/>
      <c r="I122" s="467"/>
      <c r="J122" s="467"/>
    </row>
    <row r="123" spans="1:10" ht="18" customHeight="1">
      <c r="A123" s="467"/>
      <c r="B123" s="467"/>
      <c r="C123" s="467"/>
      <c r="D123" s="467"/>
      <c r="E123" s="467"/>
      <c r="F123" s="467"/>
      <c r="G123" s="467"/>
      <c r="H123" s="467"/>
      <c r="I123" s="467"/>
      <c r="J123" s="467"/>
    </row>
    <row r="124" spans="1:10" ht="18" customHeight="1">
      <c r="A124" s="467"/>
      <c r="B124" s="467"/>
      <c r="C124" s="467"/>
      <c r="D124" s="467"/>
      <c r="E124" s="467"/>
      <c r="F124" s="467"/>
      <c r="G124" s="467"/>
      <c r="H124" s="467"/>
      <c r="I124" s="467"/>
      <c r="J124" s="467"/>
    </row>
    <row r="125" spans="1:10" ht="18" customHeight="1">
      <c r="A125" s="467"/>
      <c r="B125" s="467"/>
      <c r="C125" s="467"/>
      <c r="D125" s="467"/>
      <c r="E125" s="467"/>
      <c r="F125" s="467"/>
      <c r="G125" s="467"/>
      <c r="H125" s="467"/>
      <c r="I125" s="467"/>
      <c r="J125" s="467"/>
    </row>
    <row r="126" spans="1:10" ht="18" customHeight="1">
      <c r="A126" s="467"/>
      <c r="B126" s="467"/>
      <c r="C126" s="467"/>
      <c r="D126" s="467"/>
      <c r="E126" s="467"/>
      <c r="F126" s="467"/>
      <c r="G126" s="467"/>
      <c r="H126" s="467"/>
      <c r="I126" s="467"/>
      <c r="J126" s="467"/>
    </row>
  </sheetData>
  <sheetProtection sheet="1" objects="1" scenarios="1"/>
  <mergeCells count="52">
    <mergeCell ref="A2:A3"/>
    <mergeCell ref="C2:I3"/>
    <mergeCell ref="J25:J27"/>
    <mergeCell ref="J28:J29"/>
    <mergeCell ref="A4:A11"/>
    <mergeCell ref="B4:B6"/>
    <mergeCell ref="B7:B9"/>
    <mergeCell ref="B10:B11"/>
    <mergeCell ref="A12:A16"/>
    <mergeCell ref="B13:B15"/>
    <mergeCell ref="A17:A29"/>
    <mergeCell ref="B17:B24"/>
    <mergeCell ref="B25:B27"/>
    <mergeCell ref="B28:B29"/>
    <mergeCell ref="A30:A42"/>
    <mergeCell ref="B30:B36"/>
    <mergeCell ref="B37:B42"/>
    <mergeCell ref="J2:J3"/>
    <mergeCell ref="B2:B3"/>
    <mergeCell ref="J4:J6"/>
    <mergeCell ref="J7:J9"/>
    <mergeCell ref="J10:J11"/>
    <mergeCell ref="J13:J15"/>
    <mergeCell ref="J17:J24"/>
    <mergeCell ref="B43:B48"/>
    <mergeCell ref="B49:B51"/>
    <mergeCell ref="A52:A54"/>
    <mergeCell ref="B52:B53"/>
    <mergeCell ref="J62:J66"/>
    <mergeCell ref="J30:J36"/>
    <mergeCell ref="J49:J51"/>
    <mergeCell ref="A55:A61"/>
    <mergeCell ref="B55:B58"/>
    <mergeCell ref="B59:B60"/>
    <mergeCell ref="A62:A68"/>
    <mergeCell ref="B62:B66"/>
    <mergeCell ref="B67:B68"/>
    <mergeCell ref="A43:A51"/>
    <mergeCell ref="J52:J53"/>
    <mergeCell ref="J55:J58"/>
    <mergeCell ref="J59:J60"/>
    <mergeCell ref="L26:L27"/>
    <mergeCell ref="J67:J68"/>
    <mergeCell ref="L8:L10"/>
    <mergeCell ref="L11:L13"/>
    <mergeCell ref="L14:L16"/>
    <mergeCell ref="L17:L18"/>
    <mergeCell ref="L19:L20"/>
    <mergeCell ref="J37:J42"/>
    <mergeCell ref="J43:J48"/>
    <mergeCell ref="L21:L22"/>
    <mergeCell ref="L23:L25"/>
  </mergeCells>
  <dataValidations count="1">
    <dataValidation type="list" allowBlank="1" showInputMessage="1" showErrorMessage="1" sqref="J4:J37 J49:J70 J43">
      <formula1>$L$2:$L$3</formula1>
    </dataValidation>
  </dataValidations>
  <printOptions/>
  <pageMargins left="0.98" right="0.2" top="0.79" bottom="0.59" header="0.39" footer="0"/>
  <pageSetup firstPageNumber="2" useFirstPageNumber="1" horizontalDpi="300" verticalDpi="300" orientation="portrait" paperSize="9" scale="99" r:id="rId1"/>
  <headerFooter alignWithMargins="0">
    <oddHeader>&amp;R&amp;"ＭＳ ゴシック,標準"Ｐ.7-8-&amp;P</oddHead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D128"/>
  <sheetViews>
    <sheetView view="pageBreakPreview" zoomScaleNormal="75" zoomScaleSheetLayoutView="100" workbookViewId="0" topLeftCell="A1">
      <selection activeCell="Z17" sqref="Z17:AA17"/>
    </sheetView>
  </sheetViews>
  <sheetFormatPr defaultColWidth="8.796875" defaultRowHeight="14.25"/>
  <cols>
    <col min="1" max="28" width="3.3984375" style="1" customWidth="1"/>
    <col min="29" max="32" width="7.59765625" style="1" customWidth="1"/>
    <col min="33" max="33" width="3.09765625" style="1" customWidth="1"/>
    <col min="34" max="38" width="15.59765625" style="1" customWidth="1"/>
    <col min="39" max="39" width="16.69921875" style="1" customWidth="1"/>
    <col min="40" max="41" width="5.69921875" style="1" customWidth="1"/>
    <col min="42" max="42" width="5.19921875" style="1" customWidth="1"/>
    <col min="43" max="16384" width="4.69921875" style="1" customWidth="1"/>
  </cols>
  <sheetData>
    <row r="1" spans="2:56" ht="18" customHeight="1">
      <c r="B1" s="481" t="s">
        <v>803</v>
      </c>
      <c r="C1" s="36"/>
      <c r="D1" s="80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</row>
    <row r="2" spans="1:56" ht="18" customHeight="1">
      <c r="A2" s="36"/>
      <c r="B2" s="36"/>
      <c r="C2" s="36"/>
      <c r="D2" s="80"/>
      <c r="E2" s="36"/>
      <c r="F2" s="36"/>
      <c r="G2" s="36"/>
      <c r="H2" s="36"/>
      <c r="I2" s="36"/>
      <c r="J2" s="780">
        <v>1500</v>
      </c>
      <c r="K2" s="780"/>
      <c r="L2" s="780"/>
      <c r="M2" s="780"/>
      <c r="N2" s="36"/>
      <c r="O2" s="36"/>
      <c r="P2" s="780">
        <v>950</v>
      </c>
      <c r="Q2" s="780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80"/>
      <c r="AI2" s="17"/>
      <c r="AJ2" s="188"/>
      <c r="AK2" s="188"/>
      <c r="AL2" s="188"/>
      <c r="AM2" s="188"/>
      <c r="AN2" s="188"/>
      <c r="AO2" s="80"/>
      <c r="AP2" s="80"/>
      <c r="AQ2" s="80"/>
      <c r="AR2" s="80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ht="18" customHeight="1">
      <c r="A3" s="36"/>
      <c r="B3" s="36"/>
      <c r="C3" s="36"/>
      <c r="D3" s="80"/>
      <c r="E3" s="36"/>
      <c r="F3" s="36"/>
      <c r="G3" s="36"/>
      <c r="H3" s="36"/>
      <c r="I3" s="36"/>
      <c r="J3" s="80"/>
      <c r="K3" s="80"/>
      <c r="L3" s="80"/>
      <c r="M3" s="80"/>
      <c r="N3" s="80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80" t="s">
        <v>568</v>
      </c>
      <c r="AI3" s="188"/>
      <c r="AJ3" s="188"/>
      <c r="AK3" s="188"/>
      <c r="AL3" s="188"/>
      <c r="AM3" s="188"/>
      <c r="AN3" s="188"/>
      <c r="AO3" s="80"/>
      <c r="AP3" s="80"/>
      <c r="AQ3" s="80"/>
      <c r="AR3" s="80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</row>
    <row r="4" spans="1:56" ht="18" customHeight="1">
      <c r="A4" s="36"/>
      <c r="B4" s="36" t="s">
        <v>97</v>
      </c>
      <c r="C4" s="36"/>
      <c r="D4" s="41" t="s">
        <v>98</v>
      </c>
      <c r="E4" s="786">
        <v>1800</v>
      </c>
      <c r="F4" s="786"/>
      <c r="G4" s="785"/>
      <c r="H4" s="36"/>
      <c r="I4" s="36"/>
      <c r="J4" s="36" t="s">
        <v>182</v>
      </c>
      <c r="K4" s="36"/>
      <c r="L4" s="83"/>
      <c r="M4" s="36"/>
      <c r="N4" s="36"/>
      <c r="O4" s="36"/>
      <c r="P4" s="80"/>
      <c r="Q4" s="80"/>
      <c r="R4" s="36"/>
      <c r="S4" s="36"/>
      <c r="T4" s="83"/>
      <c r="U4" s="42"/>
      <c r="V4" s="36"/>
      <c r="W4" s="36"/>
      <c r="X4" s="36"/>
      <c r="Y4" s="36"/>
      <c r="Z4" s="36"/>
      <c r="AA4" s="36"/>
      <c r="AB4" s="36"/>
      <c r="AC4" s="741" t="s">
        <v>569</v>
      </c>
      <c r="AD4" s="742"/>
      <c r="AE4" s="741" t="s">
        <v>570</v>
      </c>
      <c r="AF4" s="742"/>
      <c r="AG4" s="36"/>
      <c r="AH4" s="745" t="s">
        <v>571</v>
      </c>
      <c r="AI4" s="238" t="s">
        <v>570</v>
      </c>
      <c r="AJ4" s="238"/>
      <c r="AK4" s="238"/>
      <c r="AL4" s="238"/>
      <c r="AM4" s="238"/>
      <c r="AN4" s="747" t="s">
        <v>572</v>
      </c>
      <c r="AO4" s="80"/>
      <c r="AP4" s="80"/>
      <c r="AQ4" s="80"/>
      <c r="AR4" s="80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</row>
    <row r="5" spans="1:56" ht="18" customHeight="1">
      <c r="A5" s="36"/>
      <c r="B5" s="797">
        <v>4.5</v>
      </c>
      <c r="C5" s="797"/>
      <c r="D5" s="239" t="s">
        <v>152</v>
      </c>
      <c r="E5" s="36"/>
      <c r="F5" s="36"/>
      <c r="G5" s="80"/>
      <c r="H5" s="36"/>
      <c r="I5" s="36"/>
      <c r="J5" s="587" t="s">
        <v>186</v>
      </c>
      <c r="K5" s="587"/>
      <c r="L5" s="26">
        <v>4</v>
      </c>
      <c r="M5" s="36" t="s">
        <v>330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743"/>
      <c r="AD5" s="744"/>
      <c r="AE5" s="743"/>
      <c r="AF5" s="744"/>
      <c r="AG5" s="36"/>
      <c r="AH5" s="746"/>
      <c r="AI5" s="240" t="s">
        <v>573</v>
      </c>
      <c r="AJ5" s="240" t="s">
        <v>574</v>
      </c>
      <c r="AK5" s="240" t="s">
        <v>575</v>
      </c>
      <c r="AL5" s="240" t="s">
        <v>576</v>
      </c>
      <c r="AM5" s="240" t="s">
        <v>577</v>
      </c>
      <c r="AN5" s="748"/>
      <c r="AO5" s="80"/>
      <c r="AP5" s="80"/>
      <c r="AQ5" s="80"/>
      <c r="AR5" s="80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6" ht="18" customHeight="1">
      <c r="A6" s="36"/>
      <c r="B6" s="36"/>
      <c r="C6" s="36"/>
      <c r="D6" s="36"/>
      <c r="E6" s="41"/>
      <c r="F6" s="787"/>
      <c r="G6" s="787"/>
      <c r="H6" s="763"/>
      <c r="I6" s="36"/>
      <c r="J6" s="36"/>
      <c r="K6" s="80"/>
      <c r="L6" s="36"/>
      <c r="M6" s="36" t="s">
        <v>99</v>
      </c>
      <c r="N6" s="36"/>
      <c r="O6" s="41" t="s">
        <v>98</v>
      </c>
      <c r="P6" s="784">
        <v>1800</v>
      </c>
      <c r="Q6" s="784"/>
      <c r="R6" s="785"/>
      <c r="S6" s="36"/>
      <c r="T6" s="36"/>
      <c r="U6" s="36"/>
      <c r="V6" s="36"/>
      <c r="W6" s="36"/>
      <c r="X6" s="36"/>
      <c r="Y6" s="36"/>
      <c r="Z6" s="36"/>
      <c r="AA6" s="36"/>
      <c r="AB6" s="36"/>
      <c r="AC6" s="569" t="s">
        <v>578</v>
      </c>
      <c r="AD6" s="737"/>
      <c r="AE6" s="569" t="s">
        <v>579</v>
      </c>
      <c r="AF6" s="737"/>
      <c r="AG6" s="36"/>
      <c r="AH6" s="241" t="s">
        <v>580</v>
      </c>
      <c r="AI6" s="242">
        <v>1.65</v>
      </c>
      <c r="AJ6" s="242">
        <v>1.5</v>
      </c>
      <c r="AK6" s="242">
        <v>1.35</v>
      </c>
      <c r="AL6" s="242">
        <v>1.19</v>
      </c>
      <c r="AM6" s="242">
        <v>1.07</v>
      </c>
      <c r="AN6" s="243">
        <v>1</v>
      </c>
      <c r="AO6" s="80"/>
      <c r="AP6" s="80"/>
      <c r="AQ6" s="80"/>
      <c r="AR6" s="80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</row>
    <row r="7" spans="1:56" ht="18" customHeight="1">
      <c r="A7" s="36"/>
      <c r="B7" s="36"/>
      <c r="C7" s="36"/>
      <c r="D7" s="36"/>
      <c r="E7" s="36"/>
      <c r="F7" s="244"/>
      <c r="G7" s="244"/>
      <c r="H7" s="79"/>
      <c r="I7" s="36"/>
      <c r="J7" s="36"/>
      <c r="K7" s="36"/>
      <c r="L7" s="36"/>
      <c r="O7" s="56">
        <v>4</v>
      </c>
      <c r="P7" s="239" t="s">
        <v>152</v>
      </c>
      <c r="Q7" s="80"/>
      <c r="R7" s="80"/>
      <c r="S7" s="36"/>
      <c r="T7" s="36"/>
      <c r="U7" s="36"/>
      <c r="V7" s="36"/>
      <c r="W7" s="36"/>
      <c r="X7" s="36"/>
      <c r="Y7" s="36"/>
      <c r="Z7" s="36"/>
      <c r="AA7" s="36"/>
      <c r="AB7" s="36"/>
      <c r="AC7" s="738">
        <f>MATCH($P$31,$AH$6:$AH$13,FALSE)</f>
        <v>2</v>
      </c>
      <c r="AD7" s="739"/>
      <c r="AE7" s="740">
        <f>MATCH($K$31,$AI$5:$AM$5,FALSE)</f>
        <v>4</v>
      </c>
      <c r="AF7" s="739"/>
      <c r="AG7" s="36"/>
      <c r="AH7" s="241" t="s">
        <v>655</v>
      </c>
      <c r="AI7" s="245">
        <v>1.74</v>
      </c>
      <c r="AJ7" s="245">
        <v>1.62</v>
      </c>
      <c r="AK7" s="245">
        <v>1.47</v>
      </c>
      <c r="AL7" s="245">
        <v>1.25</v>
      </c>
      <c r="AM7" s="245">
        <v>1.07</v>
      </c>
      <c r="AN7" s="246">
        <v>2</v>
      </c>
      <c r="AO7" s="80"/>
      <c r="AP7" s="80"/>
      <c r="AQ7" s="80"/>
      <c r="AR7" s="80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18" customHeight="1">
      <c r="A8" s="36"/>
      <c r="B8" s="36"/>
      <c r="C8" s="36"/>
      <c r="D8" s="778">
        <v>1300</v>
      </c>
      <c r="E8" s="79"/>
      <c r="F8" s="41"/>
      <c r="G8" s="79"/>
      <c r="H8" s="79"/>
      <c r="I8" s="36"/>
      <c r="J8" s="36"/>
      <c r="K8" s="36"/>
      <c r="L8" s="36"/>
      <c r="M8" s="780">
        <v>450</v>
      </c>
      <c r="N8" s="780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241" t="s">
        <v>656</v>
      </c>
      <c r="AI8" s="245">
        <v>1.84</v>
      </c>
      <c r="AJ8" s="245">
        <v>1.74</v>
      </c>
      <c r="AK8" s="245">
        <v>1.59</v>
      </c>
      <c r="AL8" s="245">
        <v>1.36</v>
      </c>
      <c r="AM8" s="245">
        <v>1.13</v>
      </c>
      <c r="AN8" s="246">
        <v>3</v>
      </c>
      <c r="AO8" s="80"/>
      <c r="AP8" s="80"/>
      <c r="AQ8" s="80"/>
      <c r="AR8" s="80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</row>
    <row r="9" spans="1:56" ht="18" customHeight="1">
      <c r="A9" s="36"/>
      <c r="B9" s="36"/>
      <c r="C9" s="36"/>
      <c r="D9" s="778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241" t="s">
        <v>581</v>
      </c>
      <c r="AI9" s="245">
        <v>1.84</v>
      </c>
      <c r="AJ9" s="245">
        <v>1.74</v>
      </c>
      <c r="AK9" s="245">
        <v>1.68</v>
      </c>
      <c r="AL9" s="245">
        <v>1.46</v>
      </c>
      <c r="AM9" s="245">
        <v>1.22</v>
      </c>
      <c r="AN9" s="246">
        <v>4</v>
      </c>
      <c r="AO9" s="80"/>
      <c r="AP9" s="80"/>
      <c r="AQ9" s="80"/>
      <c r="AR9" s="80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ht="18" customHeight="1">
      <c r="A10" s="36"/>
      <c r="B10" s="36"/>
      <c r="C10" s="36"/>
      <c r="D10" s="778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778">
        <v>1133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241" t="s">
        <v>657</v>
      </c>
      <c r="AI10" s="245">
        <v>1.92</v>
      </c>
      <c r="AJ10" s="245">
        <v>1.85</v>
      </c>
      <c r="AK10" s="245">
        <v>1.68</v>
      </c>
      <c r="AL10" s="245">
        <v>1.46</v>
      </c>
      <c r="AM10" s="245">
        <v>1.22</v>
      </c>
      <c r="AN10" s="246">
        <v>5</v>
      </c>
      <c r="AO10" s="80"/>
      <c r="AP10" s="80"/>
      <c r="AQ10" s="80"/>
      <c r="AR10" s="80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56" ht="18" customHeight="1">
      <c r="A11" s="36"/>
      <c r="B11" s="36"/>
      <c r="C11" s="57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778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241" t="s">
        <v>658</v>
      </c>
      <c r="AI11" s="245">
        <v>1.92</v>
      </c>
      <c r="AJ11" s="245">
        <v>1.85</v>
      </c>
      <c r="AK11" s="245">
        <v>1.68</v>
      </c>
      <c r="AL11" s="245">
        <v>1.55</v>
      </c>
      <c r="AM11" s="245">
        <v>1.31</v>
      </c>
      <c r="AN11" s="246">
        <v>6</v>
      </c>
      <c r="AO11" s="80"/>
      <c r="AP11" s="80"/>
      <c r="AQ11" s="80"/>
      <c r="AR11" s="80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1:56" ht="18" customHeight="1">
      <c r="A12" s="36"/>
      <c r="B12" s="36"/>
      <c r="C12" s="798">
        <v>3650</v>
      </c>
      <c r="D12" s="36"/>
      <c r="E12" s="36"/>
      <c r="F12" s="36"/>
      <c r="G12" s="2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778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241" t="s">
        <v>659</v>
      </c>
      <c r="AI12" s="245">
        <v>1.92</v>
      </c>
      <c r="AJ12" s="245">
        <v>1.85</v>
      </c>
      <c r="AK12" s="245">
        <v>1.77</v>
      </c>
      <c r="AL12" s="245">
        <v>1.55</v>
      </c>
      <c r="AM12" s="245">
        <v>1.31</v>
      </c>
      <c r="AN12" s="246">
        <v>7</v>
      </c>
      <c r="AO12" s="80"/>
      <c r="AP12" s="80"/>
      <c r="AQ12" s="80"/>
      <c r="AR12" s="80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6" ht="18" customHeight="1">
      <c r="A13" s="79"/>
      <c r="B13" s="80"/>
      <c r="C13" s="799"/>
      <c r="D13" s="779">
        <v>1750</v>
      </c>
      <c r="E13" s="36"/>
      <c r="F13" s="80"/>
      <c r="G13" s="195"/>
      <c r="H13" s="80"/>
      <c r="I13" s="80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778"/>
      <c r="X13" s="36"/>
      <c r="Y13" s="36"/>
      <c r="Z13" s="36"/>
      <c r="AA13" s="36"/>
      <c r="AB13" s="36"/>
      <c r="AC13" s="36"/>
      <c r="AD13" s="79"/>
      <c r="AE13" s="36"/>
      <c r="AF13" s="36"/>
      <c r="AG13" s="36"/>
      <c r="AH13" s="247" t="s">
        <v>660</v>
      </c>
      <c r="AI13" s="248">
        <v>1.99</v>
      </c>
      <c r="AJ13" s="248">
        <v>1.94</v>
      </c>
      <c r="AK13" s="248">
        <v>1.84</v>
      </c>
      <c r="AL13" s="248">
        <v>1.64</v>
      </c>
      <c r="AM13" s="248">
        <v>1.41</v>
      </c>
      <c r="AN13" s="249">
        <v>8</v>
      </c>
      <c r="AO13" s="80"/>
      <c r="AP13" s="80"/>
      <c r="AQ13" s="80"/>
      <c r="AR13" s="80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56" ht="18" customHeight="1">
      <c r="A14" s="79"/>
      <c r="B14" s="79"/>
      <c r="C14" s="799"/>
      <c r="D14" s="779"/>
      <c r="E14" s="36"/>
      <c r="F14" s="36"/>
      <c r="G14" s="195"/>
      <c r="H14" s="80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778"/>
      <c r="X14" s="41"/>
      <c r="Y14" s="36"/>
      <c r="Z14" s="36"/>
      <c r="AA14" s="36"/>
      <c r="AB14" s="36"/>
      <c r="AC14" s="36"/>
      <c r="AD14" s="79"/>
      <c r="AE14" s="36"/>
      <c r="AF14" s="36"/>
      <c r="AG14" s="36"/>
      <c r="AH14" s="250" t="s">
        <v>582</v>
      </c>
      <c r="AI14" s="251">
        <v>1</v>
      </c>
      <c r="AJ14" s="251">
        <v>2</v>
      </c>
      <c r="AK14" s="251">
        <v>3</v>
      </c>
      <c r="AL14" s="251">
        <v>4</v>
      </c>
      <c r="AM14" s="251">
        <v>5</v>
      </c>
      <c r="AN14" s="252"/>
      <c r="AO14" s="80"/>
      <c r="AP14" s="80"/>
      <c r="AQ14" s="80"/>
      <c r="AR14" s="80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</row>
    <row r="15" spans="1:56" ht="18" customHeight="1">
      <c r="A15" s="79"/>
      <c r="B15" s="36"/>
      <c r="C15" s="253"/>
      <c r="D15" s="779"/>
      <c r="E15" s="36"/>
      <c r="F15" s="36"/>
      <c r="G15" s="782">
        <v>3946</v>
      </c>
      <c r="H15" s="769"/>
      <c r="I15" s="769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79"/>
      <c r="AE15" s="79"/>
      <c r="AF15" s="79"/>
      <c r="AG15" s="79"/>
      <c r="AH15" s="188"/>
      <c r="AI15" s="254"/>
      <c r="AJ15" s="188"/>
      <c r="AK15" s="188"/>
      <c r="AL15" s="188"/>
      <c r="AM15" s="188"/>
      <c r="AN15" s="188"/>
      <c r="AO15" s="80"/>
      <c r="AP15" s="80"/>
      <c r="AQ15" s="80"/>
      <c r="AR15" s="80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</row>
    <row r="16" spans="1:56" ht="18" customHeight="1">
      <c r="A16" s="36"/>
      <c r="B16" s="36"/>
      <c r="C16" s="255"/>
      <c r="D16" s="36"/>
      <c r="E16" s="36"/>
      <c r="F16" s="36"/>
      <c r="G16" s="36"/>
      <c r="H16" s="36"/>
      <c r="I16" s="36"/>
      <c r="J16" s="36"/>
      <c r="K16" s="541" t="s">
        <v>331</v>
      </c>
      <c r="L16" s="541"/>
      <c r="M16" s="36"/>
      <c r="N16" s="36"/>
      <c r="O16" s="36"/>
      <c r="P16" s="36"/>
      <c r="Q16" s="36"/>
      <c r="R16" s="36"/>
      <c r="S16" s="36"/>
      <c r="T16" s="36"/>
      <c r="U16" s="36" t="s">
        <v>332</v>
      </c>
      <c r="V16" s="36"/>
      <c r="W16" s="36"/>
      <c r="X16" s="36"/>
      <c r="Y16" s="41" t="s">
        <v>98</v>
      </c>
      <c r="Z16" s="783">
        <f>おやご!$Q$3</f>
        <v>1000</v>
      </c>
      <c r="AA16" s="783"/>
      <c r="AB16" s="256"/>
      <c r="AC16" s="256"/>
      <c r="AD16" s="257"/>
      <c r="AE16" s="36"/>
      <c r="AF16" s="36"/>
      <c r="AG16" s="36"/>
      <c r="AH16" s="188"/>
      <c r="AI16" s="258"/>
      <c r="AJ16" s="258"/>
      <c r="AK16" s="258"/>
      <c r="AL16" s="258"/>
      <c r="AM16" s="258"/>
      <c r="AN16" s="188"/>
      <c r="AO16" s="80"/>
      <c r="AP16" s="80"/>
      <c r="AQ16" s="80"/>
      <c r="AR16" s="80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</row>
    <row r="17" spans="1:56" ht="18" customHeight="1">
      <c r="A17" s="36"/>
      <c r="B17" s="36"/>
      <c r="C17" s="253"/>
      <c r="D17" s="778">
        <v>600</v>
      </c>
      <c r="E17" s="36"/>
      <c r="F17" s="36"/>
      <c r="G17" s="36"/>
      <c r="H17" s="36"/>
      <c r="I17" s="80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 t="s">
        <v>333</v>
      </c>
      <c r="V17" s="36"/>
      <c r="W17" s="36"/>
      <c r="X17" s="36"/>
      <c r="Y17" s="41" t="s">
        <v>98</v>
      </c>
      <c r="Z17" s="783">
        <f>おやご!$Q$3</f>
        <v>1000</v>
      </c>
      <c r="AA17" s="783"/>
      <c r="AB17" s="256"/>
      <c r="AC17" s="256"/>
      <c r="AD17" s="257"/>
      <c r="AE17" s="36"/>
      <c r="AF17" s="36"/>
      <c r="AG17" s="36"/>
      <c r="AH17" s="80" t="s">
        <v>583</v>
      </c>
      <c r="AI17" s="258"/>
      <c r="AJ17" s="258"/>
      <c r="AK17" s="258"/>
      <c r="AL17" s="258"/>
      <c r="AM17" s="258"/>
      <c r="AN17" s="188"/>
      <c r="AO17" s="80"/>
      <c r="AP17" s="80"/>
      <c r="AQ17" s="80"/>
      <c r="AR17" s="80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</row>
    <row r="18" spans="1:56" ht="18" customHeight="1">
      <c r="A18" s="259"/>
      <c r="B18" s="36"/>
      <c r="C18" s="36"/>
      <c r="D18" s="778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41"/>
      <c r="Z18" s="237"/>
      <c r="AA18" s="237"/>
      <c r="AB18" s="260"/>
      <c r="AC18" s="260"/>
      <c r="AD18" s="261"/>
      <c r="AE18" s="36"/>
      <c r="AF18" s="36"/>
      <c r="AG18" s="36"/>
      <c r="AH18" s="250" t="s">
        <v>584</v>
      </c>
      <c r="AI18" s="262" t="s">
        <v>585</v>
      </c>
      <c r="AJ18" s="72"/>
      <c r="AK18" s="729"/>
      <c r="AL18" s="72"/>
      <c r="AM18" s="72"/>
      <c r="AN18" s="188"/>
      <c r="AO18" s="80"/>
      <c r="AP18" s="80"/>
      <c r="AQ18" s="80"/>
      <c r="AR18" s="80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</row>
    <row r="19" spans="1:56" ht="18" customHeight="1">
      <c r="A19" s="259"/>
      <c r="B19" s="36"/>
      <c r="C19" s="36"/>
      <c r="D19" s="778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243" t="s">
        <v>586</v>
      </c>
      <c r="AI19" s="263">
        <v>1.1</v>
      </c>
      <c r="AJ19" s="264"/>
      <c r="AK19" s="730"/>
      <c r="AL19" s="68"/>
      <c r="AM19" s="68"/>
      <c r="AN19" s="188"/>
      <c r="AO19" s="80"/>
      <c r="AP19" s="80"/>
      <c r="AQ19" s="80"/>
      <c r="AR19" s="80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</row>
    <row r="20" spans="1:56" ht="18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143" t="s">
        <v>587</v>
      </c>
      <c r="AI20" s="265">
        <v>1.1</v>
      </c>
      <c r="AJ20" s="266"/>
      <c r="AK20" s="187"/>
      <c r="AL20" s="267"/>
      <c r="AM20" s="36"/>
      <c r="AN20" s="80"/>
      <c r="AO20" s="80"/>
      <c r="AP20" s="80"/>
      <c r="AQ20" s="80"/>
      <c r="AR20" s="80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143" t="s">
        <v>588</v>
      </c>
      <c r="AI21" s="265">
        <v>1.1</v>
      </c>
      <c r="AJ21" s="80"/>
      <c r="AK21" s="36"/>
      <c r="AL21" s="267"/>
      <c r="AM21" s="36"/>
      <c r="AN21" s="80"/>
      <c r="AO21" s="80"/>
      <c r="AP21" s="80"/>
      <c r="AQ21" s="80"/>
      <c r="AR21" s="80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800">
        <v>500</v>
      </c>
      <c r="M22" s="800"/>
      <c r="N22" s="268"/>
      <c r="O22" s="782">
        <v>950</v>
      </c>
      <c r="P22" s="782"/>
      <c r="Q22" s="782"/>
      <c r="R22" s="36"/>
      <c r="S22" s="36"/>
      <c r="T22" s="36"/>
      <c r="U22" s="36" t="s">
        <v>100</v>
      </c>
      <c r="V22" s="36"/>
      <c r="W22" s="36"/>
      <c r="X22" s="36"/>
      <c r="Y22" s="507">
        <f>'足場板'!$M$56</f>
        <v>800</v>
      </c>
      <c r="Z22" s="507"/>
      <c r="AA22" s="36" t="s">
        <v>334</v>
      </c>
      <c r="AB22" s="36"/>
      <c r="AC22" s="36"/>
      <c r="AD22" s="36"/>
      <c r="AE22" s="80"/>
      <c r="AF22" s="80"/>
      <c r="AG22" s="80"/>
      <c r="AH22" s="143" t="s">
        <v>589</v>
      </c>
      <c r="AI22" s="265">
        <v>1.1</v>
      </c>
      <c r="AJ22" s="80"/>
      <c r="AK22" s="36"/>
      <c r="AL22" s="267"/>
      <c r="AM22" s="36"/>
      <c r="AN22" s="80"/>
      <c r="AO22" s="80"/>
      <c r="AP22" s="80"/>
      <c r="AQ22" s="80"/>
      <c r="AR22" s="80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143" t="s">
        <v>590</v>
      </c>
      <c r="AI23" s="265">
        <v>1.1</v>
      </c>
      <c r="AJ23" s="80"/>
      <c r="AK23" s="36"/>
      <c r="AL23" s="267"/>
      <c r="AM23" s="36"/>
      <c r="AN23" s="80"/>
      <c r="AO23" s="80"/>
      <c r="AP23" s="80"/>
      <c r="AQ23" s="80"/>
      <c r="AR23" s="8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ht="18" customHeight="1">
      <c r="A24" s="36"/>
      <c r="B24" s="36"/>
      <c r="C24" s="36"/>
      <c r="D24" s="36"/>
      <c r="E24" s="36"/>
      <c r="F24" s="36"/>
      <c r="G24" s="36"/>
      <c r="H24" s="36"/>
      <c r="I24" s="36"/>
      <c r="J24" s="76"/>
      <c r="K24" s="767">
        <v>750</v>
      </c>
      <c r="L24" s="781"/>
      <c r="M24" s="781"/>
      <c r="N24" s="76"/>
      <c r="O24" s="767">
        <v>1150</v>
      </c>
      <c r="P24" s="781"/>
      <c r="Q24" s="781"/>
      <c r="R24" s="269"/>
      <c r="S24" s="269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143" t="s">
        <v>591</v>
      </c>
      <c r="AI24" s="265">
        <v>1.1</v>
      </c>
      <c r="AJ24" s="80"/>
      <c r="AK24" s="80"/>
      <c r="AL24" s="80"/>
      <c r="AM24" s="80"/>
      <c r="AN24" s="80"/>
      <c r="AO24" s="80"/>
      <c r="AP24" s="80"/>
      <c r="AQ24" s="80"/>
      <c r="AR24" s="8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</row>
    <row r="25" spans="1:56" ht="18" customHeight="1">
      <c r="A25" s="36" t="s">
        <v>155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96"/>
      <c r="Q25" s="9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152" t="s">
        <v>592</v>
      </c>
      <c r="AI25" s="270">
        <v>1.1</v>
      </c>
      <c r="AJ25" s="80"/>
      <c r="AK25" s="80"/>
      <c r="AL25" s="80"/>
      <c r="AM25" s="80"/>
      <c r="AN25" s="80"/>
      <c r="AO25" s="80"/>
      <c r="AP25" s="80"/>
      <c r="AQ25" s="80"/>
      <c r="AR25" s="80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1:56" ht="18" customHeight="1">
      <c r="A26" s="36"/>
      <c r="B26" s="36" t="s">
        <v>156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134" t="s">
        <v>593</v>
      </c>
      <c r="AI26" s="271">
        <v>1.2</v>
      </c>
      <c r="AJ26" s="80"/>
      <c r="AK26" s="80"/>
      <c r="AL26" s="80"/>
      <c r="AM26" s="80"/>
      <c r="AN26" s="80"/>
      <c r="AO26" s="80"/>
      <c r="AP26" s="80"/>
      <c r="AQ26" s="80"/>
      <c r="AR26" s="8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</row>
    <row r="27" spans="1:56" ht="18" customHeight="1">
      <c r="A27" s="36"/>
      <c r="B27" s="36"/>
      <c r="C27" s="36" t="s">
        <v>335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152" t="s">
        <v>594</v>
      </c>
      <c r="AI27" s="272">
        <v>1.2</v>
      </c>
      <c r="AJ27" s="80"/>
      <c r="AK27" s="80"/>
      <c r="AL27" s="80"/>
      <c r="AM27" s="80"/>
      <c r="AN27" s="80"/>
      <c r="AO27" s="80"/>
      <c r="AP27" s="80"/>
      <c r="AQ27" s="80"/>
      <c r="AR27" s="80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</row>
    <row r="28" spans="1:56" ht="18" customHeight="1">
      <c r="A28" s="42"/>
      <c r="B28" s="36"/>
      <c r="C28" s="36" t="s">
        <v>615</v>
      </c>
      <c r="D28" s="36"/>
      <c r="E28" s="36"/>
      <c r="F28" s="36"/>
      <c r="G28" s="36"/>
      <c r="H28" s="36"/>
      <c r="I28" s="726">
        <f>$F$29</f>
        <v>14</v>
      </c>
      <c r="J28" s="727"/>
      <c r="K28" s="42" t="s">
        <v>616</v>
      </c>
      <c r="L28" s="520">
        <f>$F$30</f>
        <v>1</v>
      </c>
      <c r="M28" s="520"/>
      <c r="N28" s="42" t="s">
        <v>616</v>
      </c>
      <c r="O28" s="728">
        <f>F31</f>
        <v>1.25</v>
      </c>
      <c r="P28" s="728"/>
      <c r="Q28" s="42" t="s">
        <v>616</v>
      </c>
      <c r="R28" s="520">
        <f>F32</f>
        <v>1.1</v>
      </c>
      <c r="S28" s="520"/>
      <c r="T28" s="273" t="s">
        <v>617</v>
      </c>
      <c r="U28" s="520">
        <f>$I$28*$L$28*$O$28*$R$28</f>
        <v>19.3</v>
      </c>
      <c r="V28" s="520"/>
      <c r="W28" s="42" t="s">
        <v>618</v>
      </c>
      <c r="X28" s="42"/>
      <c r="Y28" s="196"/>
      <c r="Z28" s="36"/>
      <c r="AA28" s="42"/>
      <c r="AB28" s="42"/>
      <c r="AC28" s="42"/>
      <c r="AD28" s="36"/>
      <c r="AE28" s="36"/>
      <c r="AF28" s="36"/>
      <c r="AG28" s="36"/>
      <c r="AH28" s="177" t="s">
        <v>595</v>
      </c>
      <c r="AI28" s="274">
        <v>1</v>
      </c>
      <c r="AJ28" s="80"/>
      <c r="AK28" s="80"/>
      <c r="AL28" s="80"/>
      <c r="AM28" s="80"/>
      <c r="AN28" s="80"/>
      <c r="AO28" s="80"/>
      <c r="AP28" s="80"/>
      <c r="AQ28" s="80"/>
      <c r="AR28" s="80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1:56" ht="18" customHeight="1">
      <c r="A29" s="36"/>
      <c r="B29" s="36"/>
      <c r="C29" s="36"/>
      <c r="D29" s="36" t="s">
        <v>619</v>
      </c>
      <c r="E29" s="42" t="s">
        <v>617</v>
      </c>
      <c r="F29" s="723">
        <f>'設計風速決定表'!$I$1</f>
        <v>14</v>
      </c>
      <c r="G29" s="723"/>
      <c r="H29" s="59" t="s">
        <v>618</v>
      </c>
      <c r="I29" s="60"/>
      <c r="J29" s="41" t="s">
        <v>621</v>
      </c>
      <c r="K29" s="36" t="s">
        <v>762</v>
      </c>
      <c r="L29" s="55"/>
      <c r="M29" s="36"/>
      <c r="N29" s="55"/>
      <c r="O29" s="55"/>
      <c r="P29" s="430" t="s">
        <v>763</v>
      </c>
      <c r="Q29" s="49"/>
      <c r="R29" s="49"/>
      <c r="S29" s="36"/>
      <c r="T29" s="74" t="s">
        <v>796</v>
      </c>
      <c r="U29" s="51"/>
      <c r="V29" s="36"/>
      <c r="W29" s="36"/>
      <c r="X29" s="51"/>
      <c r="Y29" s="36"/>
      <c r="Z29" s="36"/>
      <c r="AA29" s="51"/>
      <c r="AB29" s="51"/>
      <c r="AC29" s="51"/>
      <c r="AD29" s="36"/>
      <c r="AE29" s="36"/>
      <c r="AF29" s="36"/>
      <c r="AG29" s="36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1:56" ht="18" customHeight="1">
      <c r="A30" s="36"/>
      <c r="B30" s="36"/>
      <c r="C30" s="36"/>
      <c r="D30" s="36" t="s">
        <v>622</v>
      </c>
      <c r="E30" s="42" t="s">
        <v>617</v>
      </c>
      <c r="F30" s="721">
        <f>VLOOKUP($P$30,$AH$19:$AI$28,2,FALSE)</f>
        <v>1</v>
      </c>
      <c r="G30" s="721"/>
      <c r="H30" s="36"/>
      <c r="I30" s="36"/>
      <c r="J30" s="41" t="s">
        <v>621</v>
      </c>
      <c r="K30" s="36" t="s">
        <v>623</v>
      </c>
      <c r="L30" s="55"/>
      <c r="M30" s="36"/>
      <c r="N30" s="55"/>
      <c r="O30" s="55"/>
      <c r="P30" s="724" t="s">
        <v>595</v>
      </c>
      <c r="Q30" s="725"/>
      <c r="R30" s="725"/>
      <c r="S30" s="725"/>
      <c r="T30" s="72" t="s">
        <v>624</v>
      </c>
      <c r="U30" s="51"/>
      <c r="V30" s="36"/>
      <c r="W30" s="36"/>
      <c r="X30" s="51"/>
      <c r="Y30" s="36"/>
      <c r="Z30" s="36"/>
      <c r="AA30" s="51"/>
      <c r="AB30" s="51"/>
      <c r="AC30" s="51"/>
      <c r="AD30" s="36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</row>
    <row r="31" spans="1:56" ht="18" customHeight="1">
      <c r="A31" s="36"/>
      <c r="B31" s="36"/>
      <c r="C31" s="36"/>
      <c r="D31" s="36" t="s">
        <v>625</v>
      </c>
      <c r="E31" s="42" t="s">
        <v>111</v>
      </c>
      <c r="F31" s="722">
        <f>INDEX($AI$6:$AM$13,$AC$7,$AE$7)</f>
        <v>1.25</v>
      </c>
      <c r="G31" s="722"/>
      <c r="H31" s="96"/>
      <c r="I31" s="96"/>
      <c r="J31" s="41" t="s">
        <v>620</v>
      </c>
      <c r="K31" s="719" t="s">
        <v>576</v>
      </c>
      <c r="L31" s="720"/>
      <c r="M31" s="720"/>
      <c r="N31" s="720"/>
      <c r="O31" s="720"/>
      <c r="P31" s="719" t="s">
        <v>654</v>
      </c>
      <c r="Q31" s="720"/>
      <c r="R31" s="720"/>
      <c r="S31" s="720"/>
      <c r="T31" s="72" t="s">
        <v>624</v>
      </c>
      <c r="U31" s="72"/>
      <c r="V31" s="72"/>
      <c r="W31" s="64"/>
      <c r="X31" s="64"/>
      <c r="Y31" s="36"/>
      <c r="Z31" s="36"/>
      <c r="AA31" s="72"/>
      <c r="AB31" s="72"/>
      <c r="AC31" s="72"/>
      <c r="AD31" s="36"/>
      <c r="AE31" s="36"/>
      <c r="AF31" s="36"/>
      <c r="AG31" s="36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</row>
    <row r="32" spans="1:56" ht="18" customHeight="1">
      <c r="A32" s="36"/>
      <c r="B32" s="36"/>
      <c r="C32" s="36"/>
      <c r="D32" s="36" t="s">
        <v>626</v>
      </c>
      <c r="E32" s="42" t="s">
        <v>111</v>
      </c>
      <c r="F32" s="721">
        <f>IF($P$32="あり",IF($AF$41&lt;$X$41,$AJ$41,IF($AF$42&lt;$X$41,$AJ$42,IF($AF$43&lt;$X$41,$AJ$43,$AJ$44))),1)</f>
        <v>1.1</v>
      </c>
      <c r="G32" s="721">
        <f>IF($AF$41&lt;$X$40,1,IF($AF$42&lt;$X$40,2,IF($AF$43&lt;$X$40,3,4)))</f>
        <v>4</v>
      </c>
      <c r="H32" s="96"/>
      <c r="I32" s="96"/>
      <c r="J32" s="276" t="s">
        <v>620</v>
      </c>
      <c r="K32" s="36" t="s">
        <v>627</v>
      </c>
      <c r="L32" s="50"/>
      <c r="M32" s="50"/>
      <c r="N32" s="196"/>
      <c r="O32" s="36"/>
      <c r="P32" s="577" t="s">
        <v>661</v>
      </c>
      <c r="Q32" s="577"/>
      <c r="R32" s="50" t="str">
        <f>IF($P$32="あり",IF($AF$41&lt;$X$41,$AK$41,IF($AF$42&lt;$X$41,$AK$42,IF($AF$43&lt;$X$41,$AK$43,$AK$44))),$AK$41)</f>
        <v>建築物の影響条件　L2＜L≦L1）</v>
      </c>
      <c r="S32" s="36"/>
      <c r="T32" s="51"/>
      <c r="U32" s="51"/>
      <c r="V32" s="36"/>
      <c r="W32" s="36"/>
      <c r="X32" s="51"/>
      <c r="Y32" s="36"/>
      <c r="Z32" s="36"/>
      <c r="AA32" s="51"/>
      <c r="AB32" s="51"/>
      <c r="AC32" s="51"/>
      <c r="AD32" s="36"/>
      <c r="AE32" s="36"/>
      <c r="AF32" s="36"/>
      <c r="AG32" s="36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</row>
    <row r="33" spans="1:56" ht="18" customHeight="1">
      <c r="A33" s="36"/>
      <c r="B33" s="36"/>
      <c r="C33" s="36"/>
      <c r="D33" s="36"/>
      <c r="E33" s="196"/>
      <c r="F33" s="277"/>
      <c r="G33" s="277"/>
      <c r="H33" s="96"/>
      <c r="I33" s="96"/>
      <c r="J33" s="36"/>
      <c r="K33" s="36"/>
      <c r="L33" s="50"/>
      <c r="M33" s="50"/>
      <c r="N33" s="196"/>
      <c r="O33" s="36"/>
      <c r="P33" s="36"/>
      <c r="Q33" s="36"/>
      <c r="R33" s="36"/>
      <c r="S33" s="36"/>
      <c r="T33" s="51"/>
      <c r="U33" s="51"/>
      <c r="V33" s="36"/>
      <c r="W33" s="36"/>
      <c r="X33" s="51"/>
      <c r="Y33" s="220" t="s">
        <v>628</v>
      </c>
      <c r="Z33" s="220"/>
      <c r="AA33" s="51"/>
      <c r="AB33" s="51"/>
      <c r="AC33" s="51"/>
      <c r="AD33" s="36"/>
      <c r="AE33" s="36"/>
      <c r="AF33" s="36"/>
      <c r="AG33" s="36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</row>
    <row r="34" spans="1:56" ht="18" customHeight="1">
      <c r="A34" s="36"/>
      <c r="B34" s="36"/>
      <c r="C34" s="36" t="s">
        <v>629</v>
      </c>
      <c r="D34" s="36"/>
      <c r="E34" s="196"/>
      <c r="F34" s="277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73"/>
      <c r="V34" s="51"/>
      <c r="W34" s="36"/>
      <c r="X34" s="36"/>
      <c r="Y34" s="51"/>
      <c r="Z34" s="36"/>
      <c r="AA34" s="51"/>
      <c r="AB34" s="51"/>
      <c r="AC34" s="51"/>
      <c r="AD34" s="36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</row>
    <row r="35" spans="1:56" ht="18" customHeight="1">
      <c r="A35" s="36"/>
      <c r="B35" s="36"/>
      <c r="C35" s="36"/>
      <c r="D35" s="36" t="s">
        <v>630</v>
      </c>
      <c r="E35" s="196"/>
      <c r="F35" s="27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718" t="s">
        <v>631</v>
      </c>
      <c r="V35" s="51"/>
      <c r="W35" s="36"/>
      <c r="X35" s="36"/>
      <c r="Y35" s="51"/>
      <c r="Z35" s="73"/>
      <c r="AA35" s="51"/>
      <c r="AB35" s="51"/>
      <c r="AC35" s="51"/>
      <c r="AD35" s="36"/>
      <c r="AE35" s="36"/>
      <c r="AF35" s="36"/>
      <c r="AG35" s="36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</row>
    <row r="36" spans="1:56" ht="18" customHeight="1">
      <c r="A36" s="36"/>
      <c r="B36" s="36"/>
      <c r="C36" s="36"/>
      <c r="D36" s="36" t="s">
        <v>632</v>
      </c>
      <c r="E36" s="36" t="s">
        <v>633</v>
      </c>
      <c r="F36" s="277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718"/>
      <c r="V36" s="51"/>
      <c r="W36" s="36"/>
      <c r="X36" s="36"/>
      <c r="Y36" s="51"/>
      <c r="Z36" s="718" t="s">
        <v>634</v>
      </c>
      <c r="AA36" s="51"/>
      <c r="AB36" s="51"/>
      <c r="AC36" s="278" t="s">
        <v>596</v>
      </c>
      <c r="AD36" s="36"/>
      <c r="AE36" s="36"/>
      <c r="AF36" s="36"/>
      <c r="AG36" s="36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</row>
    <row r="37" spans="1:56" ht="18" customHeight="1">
      <c r="A37" s="36"/>
      <c r="B37" s="36"/>
      <c r="C37" s="36"/>
      <c r="D37" s="36"/>
      <c r="E37" s="36" t="s">
        <v>635</v>
      </c>
      <c r="F37" s="277"/>
      <c r="G37" s="36"/>
      <c r="H37" s="36"/>
      <c r="I37" s="36"/>
      <c r="J37" s="36"/>
      <c r="K37" s="36"/>
      <c r="L37" s="36"/>
      <c r="M37" s="36"/>
      <c r="N37" s="36"/>
      <c r="O37" s="36"/>
      <c r="P37" s="208"/>
      <c r="Q37" s="208"/>
      <c r="R37" s="208"/>
      <c r="S37" s="208"/>
      <c r="T37" s="208"/>
      <c r="U37" s="44"/>
      <c r="V37" s="44"/>
      <c r="W37" s="208"/>
      <c r="X37" s="208"/>
      <c r="Y37" s="44"/>
      <c r="Z37" s="718"/>
      <c r="AA37" s="51"/>
      <c r="AB37" s="51"/>
      <c r="AC37" s="278" t="s">
        <v>597</v>
      </c>
      <c r="AD37" s="36"/>
      <c r="AE37" s="36"/>
      <c r="AF37" s="36"/>
      <c r="AG37" s="36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</row>
    <row r="38" spans="1:56" ht="18" customHeight="1">
      <c r="A38" s="36"/>
      <c r="B38" s="36"/>
      <c r="C38" s="36"/>
      <c r="D38" s="36" t="s">
        <v>622</v>
      </c>
      <c r="E38" s="36" t="s">
        <v>636</v>
      </c>
      <c r="F38" s="277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2"/>
      <c r="V38" s="51"/>
      <c r="W38" s="51"/>
      <c r="X38" s="36"/>
      <c r="Y38" s="36"/>
      <c r="Z38" s="51"/>
      <c r="AA38" s="51"/>
      <c r="AB38" s="51"/>
      <c r="AC38" s="51"/>
      <c r="AD38" s="36"/>
      <c r="AE38" s="36"/>
      <c r="AF38" s="36"/>
      <c r="AG38" s="36"/>
      <c r="AH38" s="279"/>
      <c r="AI38" s="258" t="s">
        <v>598</v>
      </c>
      <c r="AJ38" s="188"/>
      <c r="AK38" s="188"/>
      <c r="AL38" s="80"/>
      <c r="AM38" s="80"/>
      <c r="AN38" s="80"/>
      <c r="AO38" s="80"/>
      <c r="AP38" s="80"/>
      <c r="AQ38" s="80"/>
      <c r="AR38" s="80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</row>
    <row r="39" spans="1:56" ht="18" customHeight="1">
      <c r="A39" s="36"/>
      <c r="B39" s="36"/>
      <c r="C39" s="36"/>
      <c r="D39" s="36"/>
      <c r="E39" s="36" t="s">
        <v>637</v>
      </c>
      <c r="F39" s="277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2" t="s">
        <v>638</v>
      </c>
      <c r="V39" s="51"/>
      <c r="W39" s="51"/>
      <c r="X39" s="36"/>
      <c r="Y39" s="36"/>
      <c r="Z39" s="51"/>
      <c r="AA39" s="51"/>
      <c r="AB39" s="51"/>
      <c r="AC39" s="36" t="s">
        <v>599</v>
      </c>
      <c r="AD39" s="36"/>
      <c r="AE39" s="80"/>
      <c r="AF39" s="80"/>
      <c r="AG39" s="80"/>
      <c r="AH39" s="80"/>
      <c r="AI39" s="731" t="s">
        <v>600</v>
      </c>
      <c r="AJ39" s="733" t="s">
        <v>601</v>
      </c>
      <c r="AK39" s="735" t="s">
        <v>602</v>
      </c>
      <c r="AL39" s="280"/>
      <c r="AM39" s="281"/>
      <c r="AN39" s="80"/>
      <c r="AO39" s="80"/>
      <c r="AP39" s="80"/>
      <c r="AQ39" s="80"/>
      <c r="AR39" s="80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</row>
    <row r="40" spans="1:56" ht="18" customHeight="1">
      <c r="A40" s="36"/>
      <c r="B40" s="36"/>
      <c r="C40" s="36"/>
      <c r="D40" s="36" t="s">
        <v>639</v>
      </c>
      <c r="E40" s="36" t="s">
        <v>640</v>
      </c>
      <c r="F40" s="277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42" t="s">
        <v>641</v>
      </c>
      <c r="T40" s="36"/>
      <c r="U40" s="36"/>
      <c r="V40" s="51"/>
      <c r="W40" s="51"/>
      <c r="X40" s="36"/>
      <c r="Y40" s="36"/>
      <c r="Z40" s="51"/>
      <c r="AA40" s="51"/>
      <c r="AB40" s="51"/>
      <c r="AC40" s="282" t="s">
        <v>603</v>
      </c>
      <c r="AD40" s="250" t="s">
        <v>604</v>
      </c>
      <c r="AE40" s="250" t="s">
        <v>605</v>
      </c>
      <c r="AF40" s="250" t="s">
        <v>606</v>
      </c>
      <c r="AG40" s="266"/>
      <c r="AH40" s="283"/>
      <c r="AI40" s="732"/>
      <c r="AJ40" s="734"/>
      <c r="AK40" s="736"/>
      <c r="AL40" s="284"/>
      <c r="AM40" s="281"/>
      <c r="AN40" s="80"/>
      <c r="AO40" s="80"/>
      <c r="AP40" s="80"/>
      <c r="AQ40" s="80"/>
      <c r="AR40" s="80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</row>
    <row r="41" spans="1:56" ht="18" customHeight="1">
      <c r="A41" s="36"/>
      <c r="B41" s="36"/>
      <c r="C41" s="36"/>
      <c r="D41" s="36"/>
      <c r="E41" s="36" t="s">
        <v>642</v>
      </c>
      <c r="F41" s="277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42"/>
      <c r="T41" s="36"/>
      <c r="U41" s="36"/>
      <c r="V41" s="51"/>
      <c r="W41" s="74" t="s">
        <v>643</v>
      </c>
      <c r="X41" s="717">
        <v>40</v>
      </c>
      <c r="Y41" s="717"/>
      <c r="Z41" s="51" t="s">
        <v>644</v>
      </c>
      <c r="AA41" s="51"/>
      <c r="AB41" s="51"/>
      <c r="AC41" s="285">
        <f>1.5+4*1-0.5*1^2</f>
        <v>5</v>
      </c>
      <c r="AD41" s="286">
        <f>IF($P$32="あり",1.21*($X$42/AC41)^0.12,)</f>
        <v>1.5</v>
      </c>
      <c r="AE41" s="287">
        <f>IF($P$32="あり",0.95+0.1*1,)</f>
        <v>1.05</v>
      </c>
      <c r="AF41" s="288">
        <f>IF($P$32="あり",1.5*($X$43+$X$44)^0.64*($X$42-AC41)^0.36*((AD41-AE41)/(AD41-1)),)</f>
        <v>49.2</v>
      </c>
      <c r="AG41" s="289"/>
      <c r="AH41" s="290"/>
      <c r="AI41" s="243" t="s">
        <v>607</v>
      </c>
      <c r="AJ41" s="291">
        <v>1</v>
      </c>
      <c r="AK41" s="292" t="s">
        <v>608</v>
      </c>
      <c r="AL41" s="293"/>
      <c r="AM41" s="294"/>
      <c r="AN41" s="80"/>
      <c r="AO41" s="80"/>
      <c r="AP41" s="80"/>
      <c r="AQ41" s="80"/>
      <c r="AR41" s="80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</row>
    <row r="42" spans="1:56" ht="18" customHeight="1">
      <c r="A42" s="36"/>
      <c r="B42" s="36"/>
      <c r="C42" s="36"/>
      <c r="D42" s="36" t="s">
        <v>645</v>
      </c>
      <c r="E42" s="36" t="s">
        <v>646</v>
      </c>
      <c r="F42" s="36"/>
      <c r="G42" s="277"/>
      <c r="H42" s="277"/>
      <c r="I42" s="96"/>
      <c r="J42" s="96"/>
      <c r="K42" s="36"/>
      <c r="L42" s="36"/>
      <c r="M42" s="50"/>
      <c r="N42" s="36"/>
      <c r="O42" s="50"/>
      <c r="P42" s="17"/>
      <c r="Q42" s="36"/>
      <c r="R42" s="36"/>
      <c r="S42" s="36"/>
      <c r="T42" s="36"/>
      <c r="U42" s="36"/>
      <c r="V42" s="51"/>
      <c r="W42" s="74" t="s">
        <v>647</v>
      </c>
      <c r="X42" s="717">
        <v>30</v>
      </c>
      <c r="Y42" s="717"/>
      <c r="Z42" s="51" t="s">
        <v>648</v>
      </c>
      <c r="AA42" s="51"/>
      <c r="AB42" s="51"/>
      <c r="AC42" s="295">
        <f>1.5+4*2-0.5*2^2</f>
        <v>7.5</v>
      </c>
      <c r="AD42" s="286">
        <f>IF($P$32="あり",1.21*($X$42/AC42)^0.12,)</f>
        <v>1.429</v>
      </c>
      <c r="AE42" s="287">
        <f>IF($P$32="あり",0.95+0.1*2,)</f>
        <v>1.15</v>
      </c>
      <c r="AF42" s="288">
        <f>IF($P$32="あり",1.5*($X$43+$X$44)^0.64*($X$42-AC42)^0.36*((AD42-AE42)/(AD42-1)),)</f>
        <v>34.2</v>
      </c>
      <c r="AG42" s="289"/>
      <c r="AH42" s="290"/>
      <c r="AI42" s="143" t="s">
        <v>609</v>
      </c>
      <c r="AJ42" s="296">
        <v>1.1</v>
      </c>
      <c r="AK42" s="297" t="s">
        <v>610</v>
      </c>
      <c r="AL42" s="298"/>
      <c r="AM42" s="294"/>
      <c r="AN42" s="80"/>
      <c r="AO42" s="80"/>
      <c r="AP42" s="80"/>
      <c r="AQ42" s="80"/>
      <c r="AR42" s="80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</row>
    <row r="43" spans="1:56" ht="18" customHeight="1">
      <c r="A43" s="36"/>
      <c r="B43" s="36"/>
      <c r="C43" s="36"/>
      <c r="D43" s="36"/>
      <c r="E43" s="36" t="s">
        <v>649</v>
      </c>
      <c r="F43" s="36"/>
      <c r="G43" s="277"/>
      <c r="H43" s="96"/>
      <c r="I43" s="96"/>
      <c r="J43" s="36"/>
      <c r="K43" s="36"/>
      <c r="L43" s="50"/>
      <c r="M43" s="50"/>
      <c r="N43" s="36"/>
      <c r="O43" s="196"/>
      <c r="P43" s="36"/>
      <c r="Q43" s="36"/>
      <c r="R43" s="36"/>
      <c r="S43" s="36"/>
      <c r="T43" s="36"/>
      <c r="U43" s="51"/>
      <c r="V43" s="51"/>
      <c r="W43" s="36" t="s">
        <v>650</v>
      </c>
      <c r="X43" s="717">
        <v>30</v>
      </c>
      <c r="Y43" s="717"/>
      <c r="Z43" s="51" t="s">
        <v>648</v>
      </c>
      <c r="AA43" s="36"/>
      <c r="AB43" s="36"/>
      <c r="AC43" s="295">
        <f>1.5+4*3-0.5*3^2</f>
        <v>9</v>
      </c>
      <c r="AD43" s="286">
        <f>IF($P$32="あり",1.21*($X$42/AC43)^0.12,)</f>
        <v>1.398</v>
      </c>
      <c r="AE43" s="287">
        <f>IF($P$32="あり",0.95+0.1*3,)</f>
        <v>1.25</v>
      </c>
      <c r="AF43" s="288">
        <f>IF($P$32="あり",1.5*($X$43+$X$44)^0.64*($X$42-AC43)^0.36*((AD43-AE43)/(AD43-1)),)</f>
        <v>19.1</v>
      </c>
      <c r="AG43" s="289"/>
      <c r="AH43" s="290"/>
      <c r="AI43" s="143" t="s">
        <v>611</v>
      </c>
      <c r="AJ43" s="296">
        <v>1.2</v>
      </c>
      <c r="AK43" s="297" t="s">
        <v>612</v>
      </c>
      <c r="AL43" s="298"/>
      <c r="AM43" s="294"/>
      <c r="AN43" s="80"/>
      <c r="AO43" s="80"/>
      <c r="AP43" s="80"/>
      <c r="AQ43" s="80"/>
      <c r="AR43" s="80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</row>
    <row r="44" spans="1:56" ht="18" customHeight="1">
      <c r="A44" s="36"/>
      <c r="B44" s="36"/>
      <c r="C44" s="36"/>
      <c r="D44" s="36"/>
      <c r="E44" s="36"/>
      <c r="F44" s="36"/>
      <c r="G44" s="36"/>
      <c r="H44" s="36"/>
      <c r="I44" s="58"/>
      <c r="J44" s="36"/>
      <c r="K44" s="36"/>
      <c r="L44" s="36"/>
      <c r="M44" s="36"/>
      <c r="N44" s="36"/>
      <c r="O44" s="96"/>
      <c r="P44" s="96"/>
      <c r="Q44" s="36"/>
      <c r="R44" s="36"/>
      <c r="S44" s="36"/>
      <c r="T44" s="36"/>
      <c r="U44" s="42"/>
      <c r="V44" s="36"/>
      <c r="W44" s="36" t="s">
        <v>651</v>
      </c>
      <c r="X44" s="717">
        <v>15</v>
      </c>
      <c r="Y44" s="717"/>
      <c r="Z44" s="51" t="s">
        <v>648</v>
      </c>
      <c r="AA44" s="36"/>
      <c r="AB44" s="36"/>
      <c r="AC44" s="299">
        <f>1.5+4*4-0.5*4^2</f>
        <v>9.5</v>
      </c>
      <c r="AD44" s="300">
        <f>IF($P$32="あり",1.21*($X$42/AC44)^0.12,)</f>
        <v>1.389</v>
      </c>
      <c r="AE44" s="301">
        <f>IF($P$32="あり",0.95+0.1*4,)</f>
        <v>1.35</v>
      </c>
      <c r="AF44" s="302">
        <f>IF($P$32="あり",1.5*($X$43+$X$44)^0.64*($X$42-AC44)^0.36*((AD44-AE44)/(AD44-1)),)</f>
        <v>5.1</v>
      </c>
      <c r="AG44" s="289"/>
      <c r="AH44" s="290"/>
      <c r="AI44" s="152" t="s">
        <v>613</v>
      </c>
      <c r="AJ44" s="272">
        <v>1.3</v>
      </c>
      <c r="AK44" s="166" t="s">
        <v>614</v>
      </c>
      <c r="AL44" s="303"/>
      <c r="AM44" s="294"/>
      <c r="AN44" s="80"/>
      <c r="AO44" s="80"/>
      <c r="AP44" s="80"/>
      <c r="AQ44" s="80"/>
      <c r="AR44" s="80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</row>
    <row r="45" spans="1:56" ht="18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42" t="s">
        <v>652</v>
      </c>
      <c r="V45" s="36"/>
      <c r="W45" s="36" t="s">
        <v>653</v>
      </c>
      <c r="X45" s="36"/>
      <c r="Y45" s="36"/>
      <c r="Z45" s="36"/>
      <c r="AA45" s="36"/>
      <c r="AB45" s="36"/>
      <c r="AC45" s="36"/>
      <c r="AD45" s="28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56" ht="18" customHeight="1">
      <c r="A46" s="36"/>
      <c r="B46" s="36"/>
      <c r="C46" s="36"/>
      <c r="D46" s="80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</row>
    <row r="47" spans="1:56" ht="18" customHeight="1">
      <c r="A47" s="36"/>
      <c r="B47" s="36"/>
      <c r="C47" s="36" t="s">
        <v>662</v>
      </c>
      <c r="D47" s="36"/>
      <c r="E47" s="36"/>
      <c r="F47" s="36"/>
      <c r="G47" s="36"/>
      <c r="H47" s="577" t="s">
        <v>103</v>
      </c>
      <c r="I47" s="577"/>
      <c r="J47" s="577"/>
      <c r="K47" s="577"/>
      <c r="L47" s="577"/>
      <c r="M47" s="577"/>
      <c r="N47" s="577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80"/>
      <c r="AH47" s="304" t="s">
        <v>338</v>
      </c>
      <c r="AI47" s="305" t="s">
        <v>339</v>
      </c>
      <c r="AJ47" s="305" t="s">
        <v>340</v>
      </c>
      <c r="AK47" s="305" t="s">
        <v>341</v>
      </c>
      <c r="AL47" s="80"/>
      <c r="AM47" s="80"/>
      <c r="AN47" s="80"/>
      <c r="AO47" s="80"/>
      <c r="AP47" s="80"/>
      <c r="AQ47" s="80"/>
      <c r="AR47" s="80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</row>
    <row r="48" spans="1:56" ht="18" customHeight="1">
      <c r="A48" s="36"/>
      <c r="B48" s="36"/>
      <c r="C48" s="36"/>
      <c r="D48" s="36"/>
      <c r="E48" s="36"/>
      <c r="F48" s="36"/>
      <c r="G48" s="36"/>
      <c r="H48" s="36"/>
      <c r="I48" s="96"/>
      <c r="J48" s="96"/>
      <c r="K48" s="36"/>
      <c r="L48" s="96"/>
      <c r="M48" s="50"/>
      <c r="N48" s="50"/>
      <c r="O48" s="196"/>
      <c r="P48" s="36"/>
      <c r="Q48" s="36"/>
      <c r="R48" s="36"/>
      <c r="S48" s="36"/>
      <c r="T48" s="36"/>
      <c r="U48" s="51"/>
      <c r="V48" s="51"/>
      <c r="W48" s="36"/>
      <c r="X48" s="36"/>
      <c r="Y48" s="51"/>
      <c r="Z48" s="51"/>
      <c r="AA48" s="36"/>
      <c r="AB48" s="36"/>
      <c r="AC48" s="36"/>
      <c r="AD48" s="36"/>
      <c r="AE48" s="36"/>
      <c r="AF48" s="36"/>
      <c r="AG48" s="36"/>
      <c r="AH48" s="177" t="s">
        <v>102</v>
      </c>
      <c r="AI48" s="177" t="s">
        <v>108</v>
      </c>
      <c r="AJ48" s="177" t="s">
        <v>342</v>
      </c>
      <c r="AK48" s="177" t="s">
        <v>343</v>
      </c>
      <c r="AL48" s="80"/>
      <c r="AM48" s="80"/>
      <c r="AN48" s="80"/>
      <c r="AO48" s="80"/>
      <c r="AP48" s="80"/>
      <c r="AQ48" s="80"/>
      <c r="AR48" s="80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</row>
    <row r="49" spans="1:56" ht="18" customHeight="1">
      <c r="A49" s="36"/>
      <c r="B49" s="36"/>
      <c r="C49" s="36"/>
      <c r="D49" s="36" t="s">
        <v>534</v>
      </c>
      <c r="E49" s="196" t="s">
        <v>536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06" t="s">
        <v>103</v>
      </c>
      <c r="AI49" s="307">
        <v>1</v>
      </c>
      <c r="AJ49" s="307">
        <v>2</v>
      </c>
      <c r="AK49" s="134"/>
      <c r="AL49" s="80"/>
      <c r="AM49" s="80"/>
      <c r="AN49" s="80"/>
      <c r="AO49" s="80"/>
      <c r="AP49" s="80"/>
      <c r="AQ49" s="80"/>
      <c r="AR49" s="80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</row>
    <row r="50" spans="1:56" ht="18" customHeight="1">
      <c r="A50" s="36"/>
      <c r="B50" s="36"/>
      <c r="C50" s="36"/>
      <c r="D50" s="220"/>
      <c r="E50" s="196" t="s">
        <v>535</v>
      </c>
      <c r="F50" s="308"/>
      <c r="G50" s="309"/>
      <c r="H50" s="772">
        <v>0.945</v>
      </c>
      <c r="I50" s="772"/>
      <c r="J50" s="540"/>
      <c r="K50" s="42" t="s">
        <v>344</v>
      </c>
      <c r="L50" s="728">
        <f>$G$56</f>
        <v>2</v>
      </c>
      <c r="M50" s="728"/>
      <c r="N50" s="42" t="s">
        <v>344</v>
      </c>
      <c r="O50" s="773">
        <f>$O$59</f>
        <v>0.712</v>
      </c>
      <c r="P50" s="773"/>
      <c r="Q50" s="540"/>
      <c r="R50" s="267" t="s">
        <v>345</v>
      </c>
      <c r="S50" s="728">
        <f>0.11+0.945*$L$50*$O$50</f>
        <v>1.46</v>
      </c>
      <c r="T50" s="728"/>
      <c r="U50" s="220"/>
      <c r="V50" s="79"/>
      <c r="W50" s="79"/>
      <c r="X50" s="36"/>
      <c r="Y50" s="28"/>
      <c r="Z50" s="42"/>
      <c r="AA50" s="50"/>
      <c r="AB50" s="50"/>
      <c r="AC50" s="50"/>
      <c r="AD50" s="50"/>
      <c r="AE50" s="36"/>
      <c r="AF50" s="36"/>
      <c r="AG50" s="36"/>
      <c r="AH50" s="143" t="s">
        <v>104</v>
      </c>
      <c r="AI50" s="312">
        <v>0.9</v>
      </c>
      <c r="AJ50" s="312">
        <v>1.87</v>
      </c>
      <c r="AK50" s="143">
        <v>4.5</v>
      </c>
      <c r="AL50" s="80"/>
      <c r="AM50" s="80"/>
      <c r="AN50" s="80"/>
      <c r="AO50" s="80"/>
      <c r="AP50" s="80"/>
      <c r="AQ50" s="80"/>
      <c r="AR50" s="80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</row>
    <row r="51" spans="1:56" ht="18" customHeight="1">
      <c r="A51" s="36"/>
      <c r="B51" s="36"/>
      <c r="C51" s="36"/>
      <c r="D51" s="36"/>
      <c r="E51" s="36"/>
      <c r="F51" s="36"/>
      <c r="G51" s="36"/>
      <c r="H51" s="36"/>
      <c r="I51" s="50"/>
      <c r="J51" s="50"/>
      <c r="K51" s="36"/>
      <c r="L51" s="50"/>
      <c r="M51" s="50"/>
      <c r="N51" s="36"/>
      <c r="O51" s="50"/>
      <c r="P51" s="50"/>
      <c r="Q51" s="196"/>
      <c r="R51" s="50"/>
      <c r="S51" s="50"/>
      <c r="T51" s="36"/>
      <c r="U51" s="55"/>
      <c r="V51" s="55"/>
      <c r="W51" s="36"/>
      <c r="X51" s="96"/>
      <c r="Y51" s="36"/>
      <c r="Z51" s="50"/>
      <c r="AA51" s="50"/>
      <c r="AB51" s="50"/>
      <c r="AC51" s="50"/>
      <c r="AD51" s="50"/>
      <c r="AE51" s="50"/>
      <c r="AF51" s="50"/>
      <c r="AG51" s="28"/>
      <c r="AH51" s="143" t="s">
        <v>105</v>
      </c>
      <c r="AI51" s="312">
        <v>0.26</v>
      </c>
      <c r="AJ51" s="312">
        <v>0.44</v>
      </c>
      <c r="AK51" s="143">
        <v>3.5</v>
      </c>
      <c r="AL51" s="80"/>
      <c r="AM51" s="80"/>
      <c r="AN51" s="80"/>
      <c r="AO51" s="80"/>
      <c r="AP51" s="80"/>
      <c r="AQ51" s="80"/>
      <c r="AR51" s="80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</row>
    <row r="52" spans="1:56" ht="18" customHeight="1">
      <c r="A52" s="36"/>
      <c r="B52" s="36"/>
      <c r="C52" s="36"/>
      <c r="D52" s="36" t="s">
        <v>209</v>
      </c>
      <c r="E52" s="36"/>
      <c r="F52" s="259"/>
      <c r="G52" s="80"/>
      <c r="H52" s="36"/>
      <c r="I52" s="36"/>
      <c r="J52" s="36"/>
      <c r="K52" s="36"/>
      <c r="L52" s="761"/>
      <c r="M52" s="763"/>
      <c r="N52" s="36"/>
      <c r="O52" s="36"/>
      <c r="P52" s="36"/>
      <c r="Q52" s="36"/>
      <c r="R52" s="36"/>
      <c r="S52" s="51"/>
      <c r="T52" s="51"/>
      <c r="U52" s="36"/>
      <c r="V52" s="36"/>
      <c r="W52" s="51"/>
      <c r="X52" s="51"/>
      <c r="Y52" s="51"/>
      <c r="Z52" s="36"/>
      <c r="AA52" s="36"/>
      <c r="AB52" s="36"/>
      <c r="AC52" s="36"/>
      <c r="AD52" s="36"/>
      <c r="AE52" s="50"/>
      <c r="AF52" s="50"/>
      <c r="AG52" s="28"/>
      <c r="AH52" s="143" t="s">
        <v>106</v>
      </c>
      <c r="AI52" s="312">
        <v>0.24</v>
      </c>
      <c r="AJ52" s="312">
        <v>0.39</v>
      </c>
      <c r="AK52" s="143">
        <v>2.9</v>
      </c>
      <c r="AL52" s="80"/>
      <c r="AM52" s="80"/>
      <c r="AN52" s="80"/>
      <c r="AO52" s="80"/>
      <c r="AP52" s="80"/>
      <c r="AQ52" s="80"/>
      <c r="AR52" s="80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</row>
    <row r="53" spans="1:56" ht="18" customHeight="1">
      <c r="A53" s="36"/>
      <c r="B53" s="36"/>
      <c r="C53" s="36"/>
      <c r="D53" s="36"/>
      <c r="E53" s="36" t="s">
        <v>664</v>
      </c>
      <c r="F53" s="36"/>
      <c r="G53" s="722">
        <f>VLOOKUP($H$47,$AH$49:$AJ$53,2,FALSE)</f>
        <v>1</v>
      </c>
      <c r="H53" s="722"/>
      <c r="I53" s="36" t="s">
        <v>183</v>
      </c>
      <c r="J53" s="36"/>
      <c r="K53" s="36"/>
      <c r="L53" s="36"/>
      <c r="M53" s="36"/>
      <c r="N53" s="51"/>
      <c r="O53" s="51"/>
      <c r="P53" s="36"/>
      <c r="Q53" s="36"/>
      <c r="R53" s="36"/>
      <c r="S53" s="36"/>
      <c r="T53" s="51"/>
      <c r="U53" s="51"/>
      <c r="V53" s="36"/>
      <c r="W53" s="36"/>
      <c r="X53" s="51"/>
      <c r="Y53" s="51"/>
      <c r="Z53" s="36"/>
      <c r="AA53" s="36"/>
      <c r="AB53" s="36"/>
      <c r="AC53" s="36"/>
      <c r="AD53" s="36"/>
      <c r="AE53" s="36"/>
      <c r="AF53" s="36"/>
      <c r="AG53" s="36"/>
      <c r="AH53" s="152" t="s">
        <v>107</v>
      </c>
      <c r="AI53" s="313">
        <v>0.11</v>
      </c>
      <c r="AJ53" s="313">
        <v>0.15</v>
      </c>
      <c r="AK53" s="152"/>
      <c r="AL53" s="80"/>
      <c r="AM53" s="80"/>
      <c r="AN53" s="80"/>
      <c r="AO53" s="80"/>
      <c r="AP53" s="80"/>
      <c r="AQ53" s="80"/>
      <c r="AR53" s="80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8" customHeight="1">
      <c r="A54" s="36"/>
      <c r="B54" s="36"/>
      <c r="C54" s="36"/>
      <c r="D54" s="36"/>
      <c r="E54" s="36">
        <f>IF($G$53&lt;&gt;1,"K　=　1.2 φ/ ( 1 - φ)^2 =","")</f>
      </c>
      <c r="F54" s="36"/>
      <c r="G54" s="36"/>
      <c r="H54" s="36"/>
      <c r="I54" s="96"/>
      <c r="J54" s="96"/>
      <c r="K54" s="36"/>
      <c r="L54" s="764">
        <f>IF(G53&lt;&gt;1,1.2*$G$53/(1-$G$53)^2,"")</f>
      </c>
      <c r="M54" s="765"/>
      <c r="N54" s="766"/>
      <c r="O54" s="314">
        <f>IF($G$53&lt;&gt;1,IF($L$54&lt;=0.73,"≦","＞"),"")</f>
      </c>
      <c r="P54" s="774">
        <f>IF($G$53&lt;&gt;1,0.73,"")</f>
      </c>
      <c r="Q54" s="762"/>
      <c r="R54" s="36"/>
      <c r="S54" s="36"/>
      <c r="T54" s="36"/>
      <c r="U54" s="51"/>
      <c r="V54" s="51"/>
      <c r="W54" s="36"/>
      <c r="X54" s="36"/>
      <c r="Y54" s="51"/>
      <c r="Z54" s="51"/>
      <c r="AA54" s="36"/>
      <c r="AB54" s="36"/>
      <c r="AC54" s="36"/>
      <c r="AD54" s="36"/>
      <c r="AE54" s="36"/>
      <c r="AF54" s="36"/>
      <c r="AG54" s="36"/>
      <c r="AH54" s="42"/>
      <c r="AI54" s="315"/>
      <c r="AJ54" s="315"/>
      <c r="AK54" s="42"/>
      <c r="AL54" s="80"/>
      <c r="AM54" s="80"/>
      <c r="AN54" s="80"/>
      <c r="AO54" s="80"/>
      <c r="AP54" s="80"/>
      <c r="AQ54" s="80"/>
      <c r="AR54" s="80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8" customHeight="1">
      <c r="A55" s="36"/>
      <c r="B55" s="51"/>
      <c r="C55" s="51"/>
      <c r="D55" s="51"/>
      <c r="E55" s="51"/>
      <c r="F55" s="36" t="str">
        <f>IF($AH$57="A",$AH$58,IF($AH$57="B",$AH$59,IF($AH$57="C",$AH$60,"error")))</f>
        <v>φ= 1　なので</v>
      </c>
      <c r="G55" s="36"/>
      <c r="H55" s="36"/>
      <c r="I55" s="51"/>
      <c r="J55" s="51"/>
      <c r="K55" s="36"/>
      <c r="L55" s="36"/>
      <c r="M55" s="36">
        <f>IF($AH$57="A","",IF($AH$57="B",$AJ$59,IF($AH$57="C",$AJ$60,"error")))</f>
      </c>
      <c r="N55" s="36"/>
      <c r="O55" s="36"/>
      <c r="P55" s="36"/>
      <c r="Q55" s="96"/>
      <c r="R55" s="96"/>
      <c r="S55" s="36"/>
      <c r="T55" s="51"/>
      <c r="U55" s="51"/>
      <c r="V55" s="314"/>
      <c r="W55" s="51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80" t="s">
        <v>153</v>
      </c>
      <c r="AI55" s="80"/>
      <c r="AJ55" s="80"/>
      <c r="AK55" s="42"/>
      <c r="AL55" s="80"/>
      <c r="AM55" s="80"/>
      <c r="AN55" s="80"/>
      <c r="AO55" s="80"/>
      <c r="AP55" s="80"/>
      <c r="AQ55" s="80"/>
      <c r="AR55" s="80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8" customHeight="1">
      <c r="A56" s="36"/>
      <c r="B56" s="36"/>
      <c r="C56" s="36"/>
      <c r="D56" s="36"/>
      <c r="E56" s="36" t="s">
        <v>346</v>
      </c>
      <c r="F56" s="36"/>
      <c r="G56" s="761">
        <f>IF($G$53&lt;&gt;1,IF($L$54&lt;=0.73,$L$54/(1+$L$54/4)^2,2.8*LOG10($L$54+0.6-SQRT(1.2*$L$54+0.36))-2.8*LOG10($L$54)+2),2)</f>
        <v>2</v>
      </c>
      <c r="H56" s="763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42"/>
      <c r="AF56" s="315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</row>
    <row r="57" spans="1:56" ht="18" customHeight="1">
      <c r="A57" s="36"/>
      <c r="B57" s="36"/>
      <c r="C57" s="36"/>
      <c r="D57" s="36"/>
      <c r="E57" s="36"/>
      <c r="F57" s="36"/>
      <c r="G57" s="36"/>
      <c r="H57" s="36"/>
      <c r="I57" s="96"/>
      <c r="J57" s="96"/>
      <c r="K57" s="36"/>
      <c r="L57" s="316"/>
      <c r="M57" s="36"/>
      <c r="N57" s="36"/>
      <c r="O57" s="82"/>
      <c r="P57" s="234"/>
      <c r="Q57" s="36"/>
      <c r="R57" s="36"/>
      <c r="S57" s="36"/>
      <c r="T57" s="275"/>
      <c r="U57" s="275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80"/>
      <c r="AH57" s="761" t="str">
        <f>IF($G$53&lt;&gt;1,IF($L$54&lt;=0.73,"B","C"),"A")</f>
        <v>A</v>
      </c>
      <c r="AI57" s="762"/>
      <c r="AJ57" s="80"/>
      <c r="AK57" s="80"/>
      <c r="AL57" s="80"/>
      <c r="AM57" s="80"/>
      <c r="AN57" s="80"/>
      <c r="AO57" s="80"/>
      <c r="AP57" s="80"/>
      <c r="AQ57" s="80"/>
      <c r="AR57" s="80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spans="1:56" ht="18" customHeight="1">
      <c r="A58" s="36"/>
      <c r="B58" s="36"/>
      <c r="C58" s="36"/>
      <c r="D58" s="36" t="s">
        <v>210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80"/>
      <c r="AH58" s="317" t="s">
        <v>665</v>
      </c>
      <c r="AI58" s="177" t="s">
        <v>347</v>
      </c>
      <c r="AJ58" s="61" t="s">
        <v>666</v>
      </c>
      <c r="AK58" s="318"/>
      <c r="AL58" s="318"/>
      <c r="AM58" s="318"/>
      <c r="AN58" s="318"/>
      <c r="AO58" s="319"/>
      <c r="AP58" s="80"/>
      <c r="AQ58" s="80"/>
      <c r="AR58" s="80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</row>
    <row r="59" spans="1:56" ht="18" customHeight="1">
      <c r="A59" s="36"/>
      <c r="B59" s="36"/>
      <c r="C59" s="36"/>
      <c r="D59" s="36"/>
      <c r="E59" s="36" t="s">
        <v>667</v>
      </c>
      <c r="F59" s="196"/>
      <c r="G59" s="196"/>
      <c r="H59" s="36"/>
      <c r="I59" s="320"/>
      <c r="J59" s="320"/>
      <c r="K59" s="36"/>
      <c r="L59" s="55"/>
      <c r="M59" s="55"/>
      <c r="N59" s="36"/>
      <c r="O59" s="788">
        <f>0.5813+0.013*$I$61-0.0001*$I$61^2</f>
        <v>0.712</v>
      </c>
      <c r="P59" s="789"/>
      <c r="Q59" s="789"/>
      <c r="R59" s="51"/>
      <c r="S59" s="55"/>
      <c r="T59" s="49"/>
      <c r="U59" s="36"/>
      <c r="V59" s="51"/>
      <c r="W59" s="36"/>
      <c r="X59" s="36"/>
      <c r="Y59" s="51"/>
      <c r="Z59" s="51"/>
      <c r="AA59" s="36"/>
      <c r="AB59" s="36"/>
      <c r="AC59" s="36"/>
      <c r="AD59" s="36"/>
      <c r="AE59" s="36"/>
      <c r="AF59" s="80"/>
      <c r="AG59" s="80"/>
      <c r="AH59" s="317" t="s">
        <v>348</v>
      </c>
      <c r="AI59" s="177" t="s">
        <v>349</v>
      </c>
      <c r="AJ59" s="61" t="s">
        <v>350</v>
      </c>
      <c r="AK59" s="318"/>
      <c r="AL59" s="318"/>
      <c r="AM59" s="318"/>
      <c r="AN59" s="318"/>
      <c r="AO59" s="319"/>
      <c r="AP59" s="80"/>
      <c r="AQ59" s="80"/>
      <c r="AR59" s="80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</row>
    <row r="60" spans="1:56" ht="18" customHeight="1">
      <c r="A60" s="36"/>
      <c r="B60" s="36"/>
      <c r="C60" s="36"/>
      <c r="D60" s="36" t="s">
        <v>351</v>
      </c>
      <c r="E60" s="196"/>
      <c r="F60" s="196"/>
      <c r="G60" s="196"/>
      <c r="H60" s="36"/>
      <c r="I60" s="36"/>
      <c r="J60" s="36"/>
      <c r="K60" s="36"/>
      <c r="L60" s="96"/>
      <c r="M60" s="96"/>
      <c r="N60" s="36"/>
      <c r="O60" s="55"/>
      <c r="P60" s="55"/>
      <c r="Q60" s="196"/>
      <c r="R60" s="49"/>
      <c r="S60" s="49"/>
      <c r="T60" s="36"/>
      <c r="U60" s="51"/>
      <c r="V60" s="51"/>
      <c r="W60" s="36"/>
      <c r="X60" s="36"/>
      <c r="Y60" s="51"/>
      <c r="Z60" s="51"/>
      <c r="AA60" s="36"/>
      <c r="AB60" s="36"/>
      <c r="AC60" s="36"/>
      <c r="AD60" s="36"/>
      <c r="AE60" s="36"/>
      <c r="AF60" s="80"/>
      <c r="AG60" s="80"/>
      <c r="AH60" s="317" t="s">
        <v>352</v>
      </c>
      <c r="AI60" s="177" t="s">
        <v>353</v>
      </c>
      <c r="AJ60" s="321" t="s">
        <v>354</v>
      </c>
      <c r="AK60" s="318"/>
      <c r="AL60" s="318"/>
      <c r="AM60" s="318"/>
      <c r="AN60" s="318"/>
      <c r="AO60" s="319"/>
      <c r="AP60" s="80"/>
      <c r="AQ60" s="80"/>
      <c r="AR60" s="80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</row>
    <row r="61" spans="1:56" ht="18" customHeight="1">
      <c r="A61" s="36"/>
      <c r="B61" s="36"/>
      <c r="C61" s="36"/>
      <c r="D61" s="36"/>
      <c r="E61" s="36" t="s">
        <v>668</v>
      </c>
      <c r="F61" s="36"/>
      <c r="G61" s="36"/>
      <c r="H61" s="36"/>
      <c r="I61" s="721">
        <f>$K$62/$T$62</f>
        <v>11</v>
      </c>
      <c r="J61" s="721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ht="18" customHeight="1">
      <c r="A62" s="36"/>
      <c r="B62" s="36"/>
      <c r="C62" s="196"/>
      <c r="D62" s="36"/>
      <c r="E62" s="36"/>
      <c r="F62" s="36"/>
      <c r="G62" s="36" t="s">
        <v>109</v>
      </c>
      <c r="H62" s="36"/>
      <c r="I62" s="36"/>
      <c r="J62" s="50"/>
      <c r="K62" s="767">
        <v>40</v>
      </c>
      <c r="L62" s="768"/>
      <c r="M62" s="769"/>
      <c r="N62" s="36" t="s">
        <v>355</v>
      </c>
      <c r="O62" s="36"/>
      <c r="P62" s="36"/>
      <c r="Q62" s="36" t="s">
        <v>110</v>
      </c>
      <c r="R62" s="36"/>
      <c r="S62" s="36"/>
      <c r="T62" s="776">
        <f>$C$12/1000</f>
        <v>3.65</v>
      </c>
      <c r="U62" s="777"/>
      <c r="V62" s="585"/>
      <c r="W62" s="36" t="s">
        <v>355</v>
      </c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</row>
    <row r="63" spans="1:56" ht="18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85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</row>
    <row r="64" spans="1:56" ht="18" customHeight="1">
      <c r="A64" s="36"/>
      <c r="B64" s="36"/>
      <c r="C64" s="36" t="s">
        <v>211</v>
      </c>
      <c r="D64" s="36"/>
      <c r="E64" s="36"/>
      <c r="F64" s="36"/>
      <c r="G64" s="36"/>
      <c r="H64" s="36"/>
      <c r="I64" s="50"/>
      <c r="J64" s="50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79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</row>
    <row r="65" spans="1:56" ht="18" customHeight="1">
      <c r="A65" s="36"/>
      <c r="B65" s="36"/>
      <c r="C65" s="196"/>
      <c r="D65" s="36" t="s">
        <v>670</v>
      </c>
      <c r="E65" s="36"/>
      <c r="F65" s="36"/>
      <c r="G65" s="36"/>
      <c r="H65" s="36"/>
      <c r="I65" s="36"/>
      <c r="J65" s="551">
        <v>0.615</v>
      </c>
      <c r="K65" s="551"/>
      <c r="L65" s="322" t="s">
        <v>356</v>
      </c>
      <c r="M65" s="770">
        <f>$U$28</f>
        <v>19.3</v>
      </c>
      <c r="N65" s="771"/>
      <c r="O65" s="323" t="s">
        <v>357</v>
      </c>
      <c r="P65" s="322" t="s">
        <v>356</v>
      </c>
      <c r="Q65" s="791">
        <f>$S$50</f>
        <v>1.46</v>
      </c>
      <c r="R65" s="792"/>
      <c r="S65" s="324" t="s">
        <v>669</v>
      </c>
      <c r="T65" s="793">
        <f>$J$65*$M$65^2*$Q$65</f>
        <v>334</v>
      </c>
      <c r="U65" s="793"/>
      <c r="V65" s="36" t="s">
        <v>359</v>
      </c>
      <c r="W65" s="36"/>
      <c r="X65" s="36"/>
      <c r="Y65" s="36"/>
      <c r="Z65" s="36"/>
      <c r="AA65" s="36"/>
      <c r="AB65" s="36"/>
      <c r="AC65" s="36"/>
      <c r="AD65" s="36"/>
      <c r="AE65" s="36"/>
      <c r="AF65" s="79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</row>
    <row r="66" spans="1:56" ht="18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79"/>
      <c r="AG66" s="80"/>
      <c r="AH66" s="36"/>
      <c r="AI66" s="80"/>
      <c r="AJ66" s="325"/>
      <c r="AK66" s="80"/>
      <c r="AL66" s="80"/>
      <c r="AM66" s="80"/>
      <c r="AN66" s="80"/>
      <c r="AO66" s="80"/>
      <c r="AP66" s="80"/>
      <c r="AQ66" s="80"/>
      <c r="AR66" s="80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</row>
    <row r="67" spans="1:56" ht="18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79"/>
      <c r="AG67" s="80"/>
      <c r="AH67" s="80"/>
      <c r="AI67" s="80"/>
      <c r="AJ67" s="186"/>
      <c r="AK67" s="80"/>
      <c r="AL67" s="80"/>
      <c r="AM67" s="80"/>
      <c r="AN67" s="80"/>
      <c r="AO67" s="80"/>
      <c r="AP67" s="80"/>
      <c r="AQ67" s="80"/>
      <c r="AR67" s="80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ht="18" customHeight="1">
      <c r="A68" s="36"/>
      <c r="B68" s="36" t="s">
        <v>157</v>
      </c>
      <c r="C68" s="36"/>
      <c r="D68" s="36"/>
      <c r="E68" s="36"/>
      <c r="F68" s="36"/>
      <c r="G68" s="36"/>
      <c r="H68" s="36"/>
      <c r="I68" s="36"/>
      <c r="J68" s="36"/>
      <c r="K68" s="591">
        <f>$K$62</f>
        <v>40</v>
      </c>
      <c r="L68" s="585"/>
      <c r="M68" s="36" t="s">
        <v>360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79"/>
      <c r="AF68" s="80"/>
      <c r="AG68" s="80"/>
      <c r="AH68" s="326"/>
      <c r="AI68" s="80"/>
      <c r="AJ68" s="325"/>
      <c r="AK68" s="80"/>
      <c r="AL68" s="80"/>
      <c r="AM68" s="80"/>
      <c r="AN68" s="80"/>
      <c r="AO68" s="80"/>
      <c r="AP68" s="80"/>
      <c r="AQ68" s="80"/>
      <c r="AR68" s="80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</row>
    <row r="69" spans="1:56" ht="18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79"/>
      <c r="AG69" s="80"/>
      <c r="AH69" s="80"/>
      <c r="AI69" s="80"/>
      <c r="AJ69" s="186"/>
      <c r="AK69" s="80"/>
      <c r="AL69" s="80"/>
      <c r="AM69" s="80"/>
      <c r="AN69" s="80"/>
      <c r="AO69" s="80"/>
      <c r="AP69" s="80"/>
      <c r="AQ69" s="80"/>
      <c r="AR69" s="80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</row>
    <row r="70" spans="1:56" ht="18" customHeight="1">
      <c r="A70" s="36"/>
      <c r="B70" s="36"/>
      <c r="C70" s="36"/>
      <c r="D70" s="652" t="s">
        <v>361</v>
      </c>
      <c r="E70" s="540"/>
      <c r="F70" s="540"/>
      <c r="G70" s="42"/>
      <c r="H70" s="42"/>
      <c r="I70" s="683">
        <f>$O$24/1000</f>
        <v>1.15</v>
      </c>
      <c r="J70" s="683"/>
      <c r="K70" s="541" t="s">
        <v>362</v>
      </c>
      <c r="L70" s="760">
        <f>$K$68</f>
        <v>40</v>
      </c>
      <c r="M70" s="760"/>
      <c r="N70" s="541" t="s">
        <v>362</v>
      </c>
      <c r="O70" s="579">
        <f>'足場板'!$R$21</f>
        <v>69</v>
      </c>
      <c r="P70" s="682"/>
      <c r="Q70" s="42"/>
      <c r="R70" s="42"/>
      <c r="S70" s="42"/>
      <c r="T70" s="42"/>
      <c r="U70" s="759" t="s">
        <v>363</v>
      </c>
      <c r="V70" s="539">
        <f>$I$70/2*$L$70/$L$71*$O$70</f>
        <v>1984</v>
      </c>
      <c r="W70" s="539"/>
      <c r="X70" s="540"/>
      <c r="Y70" s="652" t="s">
        <v>364</v>
      </c>
      <c r="Z70" s="42"/>
      <c r="AA70" s="36"/>
      <c r="AB70" s="36"/>
      <c r="AC70" s="36"/>
      <c r="AD70" s="36"/>
      <c r="AE70" s="36"/>
      <c r="AF70" s="79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</row>
    <row r="71" spans="1:56" ht="18" customHeight="1">
      <c r="A71" s="36"/>
      <c r="B71" s="36"/>
      <c r="C71" s="36"/>
      <c r="D71" s="540"/>
      <c r="E71" s="540"/>
      <c r="F71" s="540"/>
      <c r="G71" s="42"/>
      <c r="H71" s="42"/>
      <c r="I71" s="749">
        <v>2</v>
      </c>
      <c r="J71" s="750"/>
      <c r="K71" s="531"/>
      <c r="L71" s="751">
        <f>$Y$22/1000</f>
        <v>0.8</v>
      </c>
      <c r="M71" s="775"/>
      <c r="N71" s="531"/>
      <c r="O71" s="682"/>
      <c r="P71" s="682"/>
      <c r="Q71" s="42"/>
      <c r="R71" s="42"/>
      <c r="S71" s="42"/>
      <c r="T71" s="42"/>
      <c r="U71" s="531"/>
      <c r="V71" s="539"/>
      <c r="W71" s="539"/>
      <c r="X71" s="540"/>
      <c r="Y71" s="652"/>
      <c r="Z71" s="42"/>
      <c r="AA71" s="36"/>
      <c r="AB71" s="36"/>
      <c r="AC71" s="36"/>
      <c r="AD71" s="36"/>
      <c r="AE71" s="36"/>
      <c r="AF71" s="79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</row>
    <row r="72" spans="1:56" ht="18" customHeight="1">
      <c r="A72" s="36"/>
      <c r="B72" s="36"/>
      <c r="C72" s="36"/>
      <c r="D72" s="652" t="s">
        <v>184</v>
      </c>
      <c r="E72" s="540"/>
      <c r="F72" s="540"/>
      <c r="G72" s="42"/>
      <c r="H72" s="42"/>
      <c r="I72" s="683">
        <f>$O$24/1000</f>
        <v>1.15</v>
      </c>
      <c r="J72" s="683"/>
      <c r="K72" s="541" t="s">
        <v>365</v>
      </c>
      <c r="L72" s="760">
        <f>$K$68</f>
        <v>40</v>
      </c>
      <c r="M72" s="760"/>
      <c r="N72" s="541" t="s">
        <v>365</v>
      </c>
      <c r="O72" s="579">
        <f>'足場板'!$R$21</f>
        <v>69</v>
      </c>
      <c r="P72" s="682"/>
      <c r="Q72" s="42"/>
      <c r="R72" s="42"/>
      <c r="S72" s="42"/>
      <c r="T72" s="42"/>
      <c r="U72" s="759" t="s">
        <v>366</v>
      </c>
      <c r="V72" s="539">
        <f>$I$72/2*$L$72/$L$73*$O$72</f>
        <v>441</v>
      </c>
      <c r="W72" s="539"/>
      <c r="X72" s="540"/>
      <c r="Y72" s="652" t="s">
        <v>367</v>
      </c>
      <c r="Z72" s="42"/>
      <c r="AA72" s="36"/>
      <c r="AB72" s="36"/>
      <c r="AC72" s="36"/>
      <c r="AD72" s="36"/>
      <c r="AE72" s="36"/>
      <c r="AF72" s="79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</row>
    <row r="73" spans="1:56" ht="18" customHeight="1">
      <c r="A73" s="36"/>
      <c r="B73" s="36"/>
      <c r="C73" s="36"/>
      <c r="D73" s="540"/>
      <c r="E73" s="540"/>
      <c r="F73" s="540"/>
      <c r="G73" s="42"/>
      <c r="H73" s="42"/>
      <c r="I73" s="749">
        <v>2</v>
      </c>
      <c r="J73" s="750"/>
      <c r="K73" s="531"/>
      <c r="L73" s="751">
        <f>$E$4*2/1000</f>
        <v>3.6</v>
      </c>
      <c r="M73" s="751"/>
      <c r="N73" s="531"/>
      <c r="O73" s="682"/>
      <c r="P73" s="682"/>
      <c r="Q73" s="42"/>
      <c r="R73" s="42"/>
      <c r="S73" s="42"/>
      <c r="T73" s="42"/>
      <c r="U73" s="531"/>
      <c r="V73" s="539"/>
      <c r="W73" s="539"/>
      <c r="X73" s="540"/>
      <c r="Y73" s="652"/>
      <c r="Z73" s="42"/>
      <c r="AA73" s="36"/>
      <c r="AB73" s="36"/>
      <c r="AC73" s="36"/>
      <c r="AD73" s="36"/>
      <c r="AE73" s="36"/>
      <c r="AF73" s="79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1:56" ht="18" customHeight="1">
      <c r="A74" s="36"/>
      <c r="B74" s="36"/>
      <c r="C74" s="36"/>
      <c r="D74" s="36" t="s">
        <v>368</v>
      </c>
      <c r="E74" s="36"/>
      <c r="F74" s="36"/>
      <c r="G74" s="42"/>
      <c r="H74" s="42"/>
      <c r="I74" s="754">
        <f>$K$68</f>
        <v>40</v>
      </c>
      <c r="J74" s="754"/>
      <c r="K74" s="42" t="s">
        <v>365</v>
      </c>
      <c r="L74" s="579">
        <f>'使用材一覧'!$P$13</f>
        <v>69</v>
      </c>
      <c r="M74" s="579"/>
      <c r="N74" s="42"/>
      <c r="O74" s="42"/>
      <c r="P74" s="42"/>
      <c r="Q74" s="42"/>
      <c r="R74" s="42"/>
      <c r="S74" s="42"/>
      <c r="T74" s="42"/>
      <c r="U74" s="232" t="s">
        <v>366</v>
      </c>
      <c r="V74" s="584">
        <f>$I$74*$L$74</f>
        <v>2760</v>
      </c>
      <c r="W74" s="584"/>
      <c r="X74" s="540"/>
      <c r="Y74" s="36" t="s">
        <v>367</v>
      </c>
      <c r="Z74" s="42"/>
      <c r="AA74" s="173"/>
      <c r="AB74" s="173"/>
      <c r="AC74" s="173"/>
      <c r="AD74" s="173"/>
      <c r="AE74" s="36"/>
      <c r="AF74" s="79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1:56" ht="18" customHeight="1">
      <c r="A75" s="36"/>
      <c r="B75" s="36"/>
      <c r="C75" s="36"/>
      <c r="D75" s="36" t="s">
        <v>369</v>
      </c>
      <c r="E75" s="36"/>
      <c r="F75" s="36"/>
      <c r="G75" s="42"/>
      <c r="H75" s="42"/>
      <c r="I75" s="790">
        <f>ROUNDUP($K$68/('足場板'!$M$56/1000),0)+ROUNDUP($K$68/('朝顔'!$E$4/1000),0)</f>
        <v>73</v>
      </c>
      <c r="J75" s="790"/>
      <c r="K75" s="42" t="s">
        <v>370</v>
      </c>
      <c r="L75" s="42" t="s">
        <v>365</v>
      </c>
      <c r="M75" s="28">
        <f>'使用材一覧'!$P$37</f>
        <v>7</v>
      </c>
      <c r="N75" s="42"/>
      <c r="O75" s="42"/>
      <c r="P75" s="42"/>
      <c r="Q75" s="42"/>
      <c r="R75" s="42"/>
      <c r="S75" s="42"/>
      <c r="T75" s="42"/>
      <c r="U75" s="232" t="s">
        <v>366</v>
      </c>
      <c r="V75" s="584">
        <f>$I$75*$M$75</f>
        <v>511</v>
      </c>
      <c r="W75" s="584"/>
      <c r="X75" s="540"/>
      <c r="Y75" s="36" t="s">
        <v>367</v>
      </c>
      <c r="Z75" s="28"/>
      <c r="AA75" s="42"/>
      <c r="AB75" s="42"/>
      <c r="AC75" s="42"/>
      <c r="AD75" s="42"/>
      <c r="AE75" s="36"/>
      <c r="AF75" s="79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spans="1:56" ht="18" customHeight="1">
      <c r="A76" s="36"/>
      <c r="B76" s="36"/>
      <c r="C76" s="36"/>
      <c r="D76" s="652" t="s">
        <v>34</v>
      </c>
      <c r="E76" s="652"/>
      <c r="F76" s="652"/>
      <c r="G76" s="42"/>
      <c r="H76" s="42"/>
      <c r="I76" s="647">
        <f>$O$24/1000</f>
        <v>1.15</v>
      </c>
      <c r="J76" s="647"/>
      <c r="K76" s="541" t="s">
        <v>93</v>
      </c>
      <c r="L76" s="754">
        <f>$K$68</f>
        <v>40</v>
      </c>
      <c r="M76" s="755"/>
      <c r="N76" s="541" t="s">
        <v>93</v>
      </c>
      <c r="O76" s="522">
        <f>VLOOKUP('使用材一覧'!$H$3,'使用材一覧'!$AC$18:$AO$22,8,FALSE)</f>
        <v>184</v>
      </c>
      <c r="P76" s="757"/>
      <c r="Q76" s="42"/>
      <c r="R76" s="42"/>
      <c r="S76" s="42"/>
      <c r="T76" s="42"/>
      <c r="U76" s="759" t="s">
        <v>371</v>
      </c>
      <c r="V76" s="584">
        <f>$I$76/2*$L$76*$O$76</f>
        <v>4232</v>
      </c>
      <c r="W76" s="584"/>
      <c r="X76" s="652"/>
      <c r="Y76" s="652" t="s">
        <v>75</v>
      </c>
      <c r="Z76" s="28"/>
      <c r="AA76" s="42"/>
      <c r="AB76" s="42"/>
      <c r="AC76" s="42"/>
      <c r="AD76" s="42"/>
      <c r="AE76" s="36"/>
      <c r="AF76" s="79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ht="18" customHeight="1">
      <c r="A77" s="36"/>
      <c r="B77" s="36"/>
      <c r="C77" s="36"/>
      <c r="D77" s="752"/>
      <c r="E77" s="752"/>
      <c r="F77" s="752"/>
      <c r="G77" s="42"/>
      <c r="H77" s="42"/>
      <c r="I77" s="753">
        <v>2</v>
      </c>
      <c r="J77" s="753"/>
      <c r="K77" s="531"/>
      <c r="L77" s="756"/>
      <c r="M77" s="756"/>
      <c r="N77" s="541"/>
      <c r="O77" s="758"/>
      <c r="P77" s="758"/>
      <c r="Q77" s="42"/>
      <c r="R77" s="42"/>
      <c r="S77" s="211"/>
      <c r="T77" s="211"/>
      <c r="U77" s="541"/>
      <c r="V77" s="752"/>
      <c r="W77" s="752"/>
      <c r="X77" s="752"/>
      <c r="Y77" s="752"/>
      <c r="Z77" s="28"/>
      <c r="AA77" s="42"/>
      <c r="AB77" s="42"/>
      <c r="AC77" s="42"/>
      <c r="AD77" s="42"/>
      <c r="AE77" s="36"/>
      <c r="AF77" s="79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</row>
    <row r="78" spans="1:56" ht="18" customHeight="1">
      <c r="A78" s="36"/>
      <c r="B78" s="36"/>
      <c r="C78" s="36"/>
      <c r="D78" s="204"/>
      <c r="E78" s="204"/>
      <c r="F78" s="204"/>
      <c r="G78" s="203"/>
      <c r="H78" s="203"/>
      <c r="I78" s="327"/>
      <c r="J78" s="327"/>
      <c r="K78" s="203"/>
      <c r="L78" s="203"/>
      <c r="M78" s="235"/>
      <c r="N78" s="235"/>
      <c r="O78" s="203"/>
      <c r="P78" s="203"/>
      <c r="Q78" s="203"/>
      <c r="R78" s="203"/>
      <c r="S78" s="204" t="s">
        <v>26</v>
      </c>
      <c r="T78" s="204"/>
      <c r="U78" s="203" t="s">
        <v>371</v>
      </c>
      <c r="V78" s="663">
        <f>SUM($V$70:$V$77)</f>
        <v>9928</v>
      </c>
      <c r="W78" s="663"/>
      <c r="X78" s="675"/>
      <c r="Y78" s="204" t="s">
        <v>75</v>
      </c>
      <c r="Z78" s="28"/>
      <c r="AA78" s="28"/>
      <c r="AB78" s="28"/>
      <c r="AC78" s="28"/>
      <c r="AD78" s="28"/>
      <c r="AE78" s="36"/>
      <c r="AF78" s="79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ht="18" customHeight="1">
      <c r="A79" s="36"/>
      <c r="B79" s="36"/>
      <c r="C79" s="36"/>
      <c r="D79" s="36"/>
      <c r="E79" s="36"/>
      <c r="F79" s="36"/>
      <c r="G79" s="42"/>
      <c r="H79" s="42"/>
      <c r="I79" s="42"/>
      <c r="J79" s="6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28"/>
      <c r="AB79" s="28"/>
      <c r="AC79" s="28"/>
      <c r="AD79" s="28"/>
      <c r="AE79" s="36"/>
      <c r="AF79" s="79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56" ht="18" customHeight="1">
      <c r="A80" s="36"/>
      <c r="B80" s="36" t="s">
        <v>158</v>
      </c>
      <c r="C80" s="36"/>
      <c r="D80" s="36"/>
      <c r="E80" s="36"/>
      <c r="F80" s="36"/>
      <c r="G80" s="36"/>
      <c r="H80" s="36"/>
      <c r="I80" s="36"/>
      <c r="J80" s="591">
        <f>$K$68</f>
        <v>40</v>
      </c>
      <c r="K80" s="585"/>
      <c r="L80" s="36" t="s">
        <v>372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8"/>
      <c r="AB80" s="28"/>
      <c r="AC80" s="28"/>
      <c r="AD80" s="28"/>
      <c r="AE80" s="36"/>
      <c r="AF80" s="79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ht="18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42"/>
      <c r="AB81" s="42"/>
      <c r="AC81" s="42"/>
      <c r="AD81" s="42"/>
      <c r="AE81" s="36"/>
      <c r="AF81" s="79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1:56" ht="18" customHeight="1">
      <c r="A82" s="36"/>
      <c r="B82" s="36"/>
      <c r="C82" s="36"/>
      <c r="D82" s="652" t="s">
        <v>150</v>
      </c>
      <c r="E82" s="540"/>
      <c r="F82" s="540"/>
      <c r="G82" s="42"/>
      <c r="H82" s="42"/>
      <c r="I82" s="579">
        <f>$B$5</f>
        <v>4.5</v>
      </c>
      <c r="J82" s="579"/>
      <c r="K82" s="541" t="s">
        <v>373</v>
      </c>
      <c r="L82" s="760">
        <f>$J$80</f>
        <v>40</v>
      </c>
      <c r="M82" s="760"/>
      <c r="N82" s="541" t="s">
        <v>373</v>
      </c>
      <c r="O82" s="726">
        <f>'使用材一覧'!$P$13</f>
        <v>69</v>
      </c>
      <c r="P82" s="727"/>
      <c r="Q82" s="42"/>
      <c r="R82" s="42"/>
      <c r="S82" s="42"/>
      <c r="T82" s="42"/>
      <c r="U82" s="759" t="s">
        <v>337</v>
      </c>
      <c r="V82" s="539">
        <f>$I$82*$L$82/$L$83*$O$82</f>
        <v>6900</v>
      </c>
      <c r="W82" s="539"/>
      <c r="X82" s="540"/>
      <c r="Y82" s="652" t="s">
        <v>374</v>
      </c>
      <c r="Z82" s="42"/>
      <c r="AA82" s="36"/>
      <c r="AB82" s="36"/>
      <c r="AC82" s="36"/>
      <c r="AD82" s="36"/>
      <c r="AE82" s="36"/>
      <c r="AF82" s="79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</row>
    <row r="83" spans="1:56" ht="18" customHeight="1">
      <c r="A83" s="36"/>
      <c r="B83" s="36"/>
      <c r="C83" s="36"/>
      <c r="D83" s="540"/>
      <c r="E83" s="540"/>
      <c r="F83" s="540"/>
      <c r="G83" s="42"/>
      <c r="H83" s="42"/>
      <c r="I83" s="541"/>
      <c r="J83" s="541"/>
      <c r="K83" s="531"/>
      <c r="L83" s="751">
        <f>$E$4/1000</f>
        <v>1.8</v>
      </c>
      <c r="M83" s="775"/>
      <c r="N83" s="531"/>
      <c r="O83" s="727"/>
      <c r="P83" s="727"/>
      <c r="Q83" s="42"/>
      <c r="R83" s="42"/>
      <c r="S83" s="42"/>
      <c r="T83" s="42"/>
      <c r="U83" s="531"/>
      <c r="V83" s="539"/>
      <c r="W83" s="539"/>
      <c r="X83" s="540"/>
      <c r="Y83" s="652"/>
      <c r="Z83" s="42"/>
      <c r="AA83" s="36"/>
      <c r="AB83" s="36"/>
      <c r="AC83" s="36"/>
      <c r="AD83" s="36"/>
      <c r="AE83" s="173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</row>
    <row r="84" spans="1:56" ht="18" customHeight="1">
      <c r="A84" s="36"/>
      <c r="B84" s="36"/>
      <c r="C84" s="36"/>
      <c r="D84" s="36" t="s">
        <v>375</v>
      </c>
      <c r="E84" s="36"/>
      <c r="F84" s="36"/>
      <c r="G84" s="42"/>
      <c r="H84" s="42"/>
      <c r="I84" s="754">
        <f>$O$7</f>
        <v>4</v>
      </c>
      <c r="J84" s="754"/>
      <c r="K84" s="541" t="s">
        <v>373</v>
      </c>
      <c r="L84" s="794">
        <f>$J$80</f>
        <v>40</v>
      </c>
      <c r="M84" s="794"/>
      <c r="N84" s="541" t="s">
        <v>373</v>
      </c>
      <c r="O84" s="726">
        <f>'使用材一覧'!$P$13</f>
        <v>69</v>
      </c>
      <c r="P84" s="727"/>
      <c r="Q84" s="42"/>
      <c r="R84" s="42"/>
      <c r="S84" s="42"/>
      <c r="T84" s="42"/>
      <c r="U84" s="232" t="s">
        <v>337</v>
      </c>
      <c r="V84" s="539">
        <f>$I$84*$L$84/$L$85*$O$84</f>
        <v>6133</v>
      </c>
      <c r="W84" s="539"/>
      <c r="X84" s="540"/>
      <c r="Y84" s="36" t="s">
        <v>374</v>
      </c>
      <c r="Z84" s="42"/>
      <c r="AA84" s="173"/>
      <c r="AB84" s="173"/>
      <c r="AC84" s="173"/>
      <c r="AD84" s="173"/>
      <c r="AE84" s="42"/>
      <c r="AF84" s="79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</row>
    <row r="85" spans="1:56" ht="18" customHeight="1">
      <c r="A85" s="36"/>
      <c r="B85" s="36"/>
      <c r="C85" s="36"/>
      <c r="D85" s="36"/>
      <c r="E85" s="36"/>
      <c r="F85" s="36"/>
      <c r="G85" s="42"/>
      <c r="H85" s="42"/>
      <c r="I85" s="531"/>
      <c r="J85" s="531"/>
      <c r="K85" s="531"/>
      <c r="L85" s="751">
        <f>$P$6/1000</f>
        <v>1.8</v>
      </c>
      <c r="M85" s="775"/>
      <c r="N85" s="531"/>
      <c r="O85" s="727"/>
      <c r="P85" s="727"/>
      <c r="Q85" s="42"/>
      <c r="R85" s="42"/>
      <c r="S85" s="42"/>
      <c r="T85" s="42"/>
      <c r="U85" s="232"/>
      <c r="V85" s="539"/>
      <c r="W85" s="539"/>
      <c r="X85" s="540"/>
      <c r="Y85" s="36"/>
      <c r="Z85" s="42"/>
      <c r="AA85" s="42"/>
      <c r="AB85" s="42"/>
      <c r="AC85" s="42"/>
      <c r="AD85" s="42"/>
      <c r="AE85" s="42"/>
      <c r="AF85" s="79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</row>
    <row r="86" spans="1:56" ht="18" customHeight="1">
      <c r="A86" s="36"/>
      <c r="B86" s="36"/>
      <c r="C86" s="72"/>
      <c r="D86" s="36" t="s">
        <v>151</v>
      </c>
      <c r="E86" s="36"/>
      <c r="F86" s="36"/>
      <c r="G86" s="42"/>
      <c r="H86" s="42"/>
      <c r="I86" s="780">
        <v>3</v>
      </c>
      <c r="J86" s="780"/>
      <c r="K86" s="42" t="s">
        <v>376</v>
      </c>
      <c r="L86" s="754">
        <f>$J$80</f>
        <v>40</v>
      </c>
      <c r="M86" s="754"/>
      <c r="N86" s="42" t="s">
        <v>376</v>
      </c>
      <c r="O86" s="544">
        <f>'使用材一覧'!$P$13</f>
        <v>69</v>
      </c>
      <c r="P86" s="544"/>
      <c r="Q86" s="42"/>
      <c r="R86" s="42"/>
      <c r="S86" s="42"/>
      <c r="T86" s="42"/>
      <c r="U86" s="232" t="s">
        <v>377</v>
      </c>
      <c r="V86" s="584">
        <f>$I$86*$L$86*$O$86</f>
        <v>8280</v>
      </c>
      <c r="W86" s="584"/>
      <c r="X86" s="540"/>
      <c r="Y86" s="36" t="s">
        <v>378</v>
      </c>
      <c r="Z86" s="28"/>
      <c r="AA86" s="42"/>
      <c r="AB86" s="42"/>
      <c r="AC86" s="42"/>
      <c r="AD86" s="42"/>
      <c r="AE86" s="28"/>
      <c r="AF86" s="28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</row>
    <row r="87" spans="1:56" ht="18" customHeight="1">
      <c r="A87" s="36"/>
      <c r="B87" s="36"/>
      <c r="C87" s="72"/>
      <c r="D87" s="36" t="s">
        <v>379</v>
      </c>
      <c r="E87" s="36"/>
      <c r="F87" s="36"/>
      <c r="G87" s="42"/>
      <c r="H87" s="41" t="s">
        <v>380</v>
      </c>
      <c r="I87" s="472">
        <f>ROUNDUP($J$80/($E$4/1000),0)*3</f>
        <v>69</v>
      </c>
      <c r="J87" s="42" t="s">
        <v>663</v>
      </c>
      <c r="K87" s="472">
        <f>ROUNDUP($J$80/($P$6/1000),0)</f>
        <v>23</v>
      </c>
      <c r="L87" s="42" t="s">
        <v>381</v>
      </c>
      <c r="M87" s="473">
        <f>ROUNDUP($J$80/($E$4/1000),0)+ROUNDUP($J$80/($E$4/1000),0)</f>
        <v>46</v>
      </c>
      <c r="N87" s="328" t="s">
        <v>382</v>
      </c>
      <c r="O87" s="28">
        <f>'使用材一覧'!$P$37</f>
        <v>7</v>
      </c>
      <c r="P87" s="42"/>
      <c r="Q87" s="42"/>
      <c r="R87" s="42"/>
      <c r="S87" s="42"/>
      <c r="T87" s="42"/>
      <c r="U87" s="232" t="s">
        <v>377</v>
      </c>
      <c r="V87" s="584">
        <f>($I$87+$K$87+$M$87)*$O$87</f>
        <v>966</v>
      </c>
      <c r="W87" s="584"/>
      <c r="X87" s="652"/>
      <c r="Y87" s="36" t="s">
        <v>378</v>
      </c>
      <c r="Z87" s="28"/>
      <c r="AA87" s="42"/>
      <c r="AB87" s="42"/>
      <c r="AC87" s="42"/>
      <c r="AD87" s="42"/>
      <c r="AE87" s="28"/>
      <c r="AF87" s="28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</row>
    <row r="88" spans="1:56" ht="18" customHeight="1">
      <c r="A88" s="36"/>
      <c r="B88" s="36"/>
      <c r="C88" s="72"/>
      <c r="D88" s="208" t="s">
        <v>185</v>
      </c>
      <c r="E88" s="208"/>
      <c r="F88" s="208"/>
      <c r="G88" s="211"/>
      <c r="H88" s="230"/>
      <c r="I88" s="63">
        <f>$L$5</f>
        <v>4</v>
      </c>
      <c r="J88" s="211" t="s">
        <v>383</v>
      </c>
      <c r="K88" s="211" t="s">
        <v>384</v>
      </c>
      <c r="L88" s="754">
        <f>$J$80</f>
        <v>40</v>
      </c>
      <c r="M88" s="754"/>
      <c r="N88" s="211" t="s">
        <v>384</v>
      </c>
      <c r="O88" s="795">
        <f>'使用材一覧'!$P$52</f>
        <v>94</v>
      </c>
      <c r="P88" s="796"/>
      <c r="Q88" s="211"/>
      <c r="R88" s="211"/>
      <c r="S88" s="211"/>
      <c r="T88" s="211"/>
      <c r="U88" s="232" t="s">
        <v>385</v>
      </c>
      <c r="V88" s="688">
        <f>$I$88*$L$88*$O$88</f>
        <v>15040</v>
      </c>
      <c r="W88" s="688"/>
      <c r="X88" s="752"/>
      <c r="Y88" s="208" t="s">
        <v>386</v>
      </c>
      <c r="Z88" s="28"/>
      <c r="AA88" s="42"/>
      <c r="AB88" s="42"/>
      <c r="AC88" s="42"/>
      <c r="AD88" s="42"/>
      <c r="AE88" s="28"/>
      <c r="AF88" s="28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</row>
    <row r="89" spans="1:56" ht="18" customHeight="1">
      <c r="A89" s="36"/>
      <c r="B89" s="36"/>
      <c r="C89" s="72"/>
      <c r="D89" s="204"/>
      <c r="E89" s="204"/>
      <c r="F89" s="204"/>
      <c r="G89" s="203"/>
      <c r="H89" s="203"/>
      <c r="I89" s="327"/>
      <c r="J89" s="327"/>
      <c r="K89" s="203"/>
      <c r="L89" s="203"/>
      <c r="M89" s="235"/>
      <c r="N89" s="235"/>
      <c r="O89" s="203"/>
      <c r="P89" s="203"/>
      <c r="Q89" s="203"/>
      <c r="R89" s="203"/>
      <c r="S89" s="204" t="s">
        <v>26</v>
      </c>
      <c r="T89" s="204"/>
      <c r="U89" s="203" t="s">
        <v>385</v>
      </c>
      <c r="V89" s="663">
        <f>SUM($V$82:$V$88)</f>
        <v>37319</v>
      </c>
      <c r="W89" s="663"/>
      <c r="X89" s="675"/>
      <c r="Y89" s="204" t="s">
        <v>386</v>
      </c>
      <c r="Z89" s="28"/>
      <c r="AA89" s="28"/>
      <c r="AB89" s="28"/>
      <c r="AC89" s="28"/>
      <c r="AD89" s="28"/>
      <c r="AE89" s="28"/>
      <c r="AF89" s="28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</row>
    <row r="90" spans="1:56" ht="18" customHeight="1">
      <c r="A90" s="36"/>
      <c r="B90" s="36"/>
      <c r="C90" s="72"/>
      <c r="D90" s="36"/>
      <c r="E90" s="36"/>
      <c r="F90" s="36"/>
      <c r="G90" s="42"/>
      <c r="H90" s="42"/>
      <c r="I90" s="83"/>
      <c r="J90" s="83"/>
      <c r="K90" s="42"/>
      <c r="L90" s="42"/>
      <c r="M90" s="39"/>
      <c r="N90" s="39"/>
      <c r="O90" s="42"/>
      <c r="P90" s="42"/>
      <c r="Q90" s="42"/>
      <c r="R90" s="42"/>
      <c r="S90" s="42"/>
      <c r="T90" s="42"/>
      <c r="U90" s="42"/>
      <c r="V90" s="43"/>
      <c r="W90" s="43"/>
      <c r="X90" s="36"/>
      <c r="Y90" s="36"/>
      <c r="Z90" s="28"/>
      <c r="AA90" s="28"/>
      <c r="AB90" s="28"/>
      <c r="AC90" s="28"/>
      <c r="AD90" s="28"/>
      <c r="AE90" s="42"/>
      <c r="AF90" s="79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</row>
    <row r="91" spans="1:56" ht="18" customHeight="1">
      <c r="A91" s="36"/>
      <c r="B91" s="72"/>
      <c r="C91" s="72"/>
      <c r="D91" s="72"/>
      <c r="E91" s="72"/>
      <c r="F91" s="72"/>
      <c r="G91" s="72"/>
      <c r="H91" s="72"/>
      <c r="I91" s="72"/>
      <c r="J91" s="64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28"/>
      <c r="AB91" s="28"/>
      <c r="AC91" s="28"/>
      <c r="AD91" s="28"/>
      <c r="AE91" s="36"/>
      <c r="AF91" s="79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</row>
    <row r="92" spans="1:56" ht="18" customHeight="1">
      <c r="A92" s="36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260"/>
      <c r="V92" s="72"/>
      <c r="W92" s="72"/>
      <c r="X92" s="72"/>
      <c r="Y92" s="72"/>
      <c r="Z92" s="72"/>
      <c r="AA92" s="28"/>
      <c r="AB92" s="28"/>
      <c r="AC92" s="28"/>
      <c r="AD92" s="28"/>
      <c r="AE92" s="36"/>
      <c r="AF92" s="79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</row>
    <row r="93" spans="1:56" ht="18" customHeight="1">
      <c r="A93" s="36"/>
      <c r="B93" s="72"/>
      <c r="C93" s="64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260"/>
      <c r="W93" s="260"/>
      <c r="X93" s="72"/>
      <c r="Y93" s="72"/>
      <c r="Z93" s="72"/>
      <c r="AA93" s="72"/>
      <c r="AB93" s="72"/>
      <c r="AC93" s="72"/>
      <c r="AD93" s="72"/>
      <c r="AE93" s="173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</row>
    <row r="94" spans="1:56" ht="18" customHeight="1">
      <c r="A94" s="36"/>
      <c r="B94" s="72"/>
      <c r="C94" s="64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261"/>
      <c r="AB94" s="261"/>
      <c r="AC94" s="261"/>
      <c r="AD94" s="261"/>
      <c r="AE94" s="42"/>
      <c r="AF94" s="79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</row>
    <row r="95" spans="1:56" ht="18" customHeight="1">
      <c r="A95" s="329"/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1"/>
      <c r="AB95" s="331"/>
      <c r="AC95" s="331"/>
      <c r="AD95" s="331"/>
      <c r="AE95" s="332"/>
      <c r="AF95" s="333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</row>
    <row r="96" spans="1:56" ht="18" customHeight="1">
      <c r="A96" s="330"/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1"/>
      <c r="Z96" s="331"/>
      <c r="AA96" s="331"/>
      <c r="AB96" s="331"/>
      <c r="AC96" s="331"/>
      <c r="AD96" s="331"/>
      <c r="AE96" s="332"/>
      <c r="AF96" s="333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</row>
    <row r="97" spans="1:56" ht="18" customHeight="1">
      <c r="A97" s="330"/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1"/>
      <c r="Z97" s="331"/>
      <c r="AA97" s="331"/>
      <c r="AB97" s="331"/>
      <c r="AC97" s="331"/>
      <c r="AD97" s="331"/>
      <c r="AE97" s="8"/>
      <c r="AF97" s="8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</row>
    <row r="98" spans="1:56" ht="18" customHeight="1">
      <c r="A98" s="334"/>
      <c r="B98" s="21"/>
      <c r="C98" s="330"/>
      <c r="D98" s="330"/>
      <c r="E98" s="21"/>
      <c r="F98" s="21"/>
      <c r="G98" s="330"/>
      <c r="H98" s="21"/>
      <c r="I98" s="21"/>
      <c r="J98" s="330"/>
      <c r="K98" s="21"/>
      <c r="L98" s="21"/>
      <c r="M98" s="330"/>
      <c r="N98" s="330"/>
      <c r="O98" s="330"/>
      <c r="P98" s="330"/>
      <c r="Q98" s="21"/>
      <c r="R98" s="21"/>
      <c r="S98" s="330"/>
      <c r="T98" s="330"/>
      <c r="U98" s="330"/>
      <c r="V98" s="330"/>
      <c r="W98" s="330"/>
      <c r="X98" s="330"/>
      <c r="Y98" s="330"/>
      <c r="Z98" s="330"/>
      <c r="AA98" s="331"/>
      <c r="AB98" s="331"/>
      <c r="AC98" s="331"/>
      <c r="AD98" s="331"/>
      <c r="AE98" s="8"/>
      <c r="AF98" s="8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</row>
    <row r="99" spans="1:56" ht="18" customHeight="1">
      <c r="A99" s="330"/>
      <c r="B99" s="21"/>
      <c r="C99" s="21"/>
      <c r="D99" s="330"/>
      <c r="E99" s="330"/>
      <c r="F99" s="330"/>
      <c r="G99" s="330"/>
      <c r="H99" s="21"/>
      <c r="I99" s="21"/>
      <c r="J99" s="330"/>
      <c r="K99" s="330"/>
      <c r="L99" s="330"/>
      <c r="M99" s="330"/>
      <c r="N99" s="330"/>
      <c r="O99" s="330"/>
      <c r="P99" s="330"/>
      <c r="Q99" s="21"/>
      <c r="R99" s="21"/>
      <c r="S99" s="330"/>
      <c r="T99" s="330"/>
      <c r="U99" s="330"/>
      <c r="V99" s="330"/>
      <c r="W99" s="330"/>
      <c r="X99" s="330"/>
      <c r="Y99" s="330"/>
      <c r="Z99" s="330"/>
      <c r="AA99" s="331"/>
      <c r="AB99" s="331"/>
      <c r="AC99" s="331"/>
      <c r="AD99" s="331"/>
      <c r="AE99" s="8"/>
      <c r="AF99" s="8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</row>
    <row r="100" spans="1:56" ht="18" customHeight="1">
      <c r="A100" s="330"/>
      <c r="B100" s="330"/>
      <c r="C100" s="21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1"/>
      <c r="AB100" s="331"/>
      <c r="AC100" s="331"/>
      <c r="AD100" s="331"/>
      <c r="AE100" s="8"/>
      <c r="AF100" s="8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</row>
    <row r="101" spans="1:56" ht="18" customHeight="1">
      <c r="A101" s="330"/>
      <c r="B101" s="330"/>
      <c r="C101" s="330"/>
      <c r="D101" s="21"/>
      <c r="E101" s="21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1"/>
      <c r="AB101" s="331"/>
      <c r="AC101" s="331"/>
      <c r="AD101" s="331"/>
      <c r="AE101" s="8"/>
      <c r="AF101" s="8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</row>
    <row r="102" spans="1:56" ht="18" customHeight="1">
      <c r="A102" s="330"/>
      <c r="B102" s="330"/>
      <c r="C102" s="330"/>
      <c r="D102" s="330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1"/>
      <c r="AB102" s="331"/>
      <c r="AC102" s="331"/>
      <c r="AD102" s="331"/>
      <c r="AE102" s="332"/>
      <c r="AF102" s="333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</row>
    <row r="103" spans="1:56" ht="18" customHeight="1">
      <c r="A103" s="330"/>
      <c r="B103" s="330"/>
      <c r="C103" s="329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1"/>
      <c r="AB103" s="331"/>
      <c r="AC103" s="331"/>
      <c r="AD103" s="331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</row>
    <row r="104" spans="1:56" ht="18" customHeight="1">
      <c r="A104" s="330"/>
      <c r="B104" s="21"/>
      <c r="C104" s="329"/>
      <c r="D104" s="330"/>
      <c r="E104" s="21"/>
      <c r="F104" s="21"/>
      <c r="G104" s="330"/>
      <c r="H104" s="330"/>
      <c r="I104" s="330"/>
      <c r="J104" s="330"/>
      <c r="K104" s="21"/>
      <c r="L104" s="21"/>
      <c r="M104" s="330"/>
      <c r="N104" s="330"/>
      <c r="O104" s="330"/>
      <c r="P104" s="330"/>
      <c r="Q104" s="330"/>
      <c r="R104" s="330"/>
      <c r="S104" s="330"/>
      <c r="T104" s="21"/>
      <c r="U104" s="21"/>
      <c r="V104" s="330"/>
      <c r="W104" s="330"/>
      <c r="X104" s="330"/>
      <c r="Y104" s="330"/>
      <c r="Z104" s="330"/>
      <c r="AA104" s="331"/>
      <c r="AB104" s="331"/>
      <c r="AC104" s="331"/>
      <c r="AD104" s="331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</row>
    <row r="105" spans="1:30" ht="18" customHeight="1">
      <c r="A105" s="20"/>
      <c r="B105" s="21"/>
      <c r="C105" s="3"/>
      <c r="D105" s="20"/>
      <c r="E105" s="24"/>
      <c r="F105" s="24"/>
      <c r="G105" s="23"/>
      <c r="H105" s="23"/>
      <c r="I105" s="23"/>
      <c r="J105" s="20"/>
      <c r="K105" s="21"/>
      <c r="L105" s="21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  <c r="Z105" s="21"/>
      <c r="AA105" s="22"/>
      <c r="AB105" s="22"/>
      <c r="AC105" s="22"/>
      <c r="AD105" s="22"/>
    </row>
    <row r="106" spans="1:30" ht="18" customHeight="1">
      <c r="A106" s="20"/>
      <c r="B106" s="20"/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:30" ht="18" customHeight="1">
      <c r="A107" s="23"/>
      <c r="B107" s="23"/>
      <c r="C107" s="3"/>
      <c r="D107" s="21"/>
      <c r="E107" s="21"/>
      <c r="F107" s="23"/>
      <c r="G107" s="23"/>
      <c r="H107" s="23"/>
      <c r="I107" s="23"/>
      <c r="J107" s="23"/>
      <c r="K107" s="23"/>
      <c r="L107" s="23"/>
      <c r="M107" s="20"/>
      <c r="N107" s="20"/>
      <c r="O107" s="20"/>
      <c r="P107" s="20"/>
      <c r="Q107" s="20"/>
      <c r="R107" s="20"/>
      <c r="S107" s="20"/>
      <c r="T107" s="20"/>
      <c r="U107" s="21"/>
      <c r="V107" s="21"/>
      <c r="W107" s="20"/>
      <c r="X107" s="20"/>
      <c r="Y107" s="20"/>
      <c r="Z107" s="20"/>
      <c r="AA107" s="21"/>
      <c r="AB107" s="21"/>
      <c r="AC107" s="21"/>
      <c r="AD107" s="21"/>
    </row>
    <row r="108" spans="1:30" ht="18" customHeight="1">
      <c r="A108" s="20"/>
      <c r="B108" s="3"/>
      <c r="C108" s="3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3"/>
      <c r="T108" s="3"/>
      <c r="U108" s="3"/>
      <c r="V108" s="3"/>
      <c r="W108" s="3"/>
      <c r="X108" s="3"/>
      <c r="Y108" s="3"/>
      <c r="Z108" s="3"/>
      <c r="AA108" s="20"/>
      <c r="AB108" s="20"/>
      <c r="AC108" s="20"/>
      <c r="AD108" s="20"/>
    </row>
    <row r="109" spans="1:30" ht="18" customHeight="1">
      <c r="A109" s="20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18"/>
      <c r="M109" s="18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20"/>
      <c r="AB109" s="20"/>
      <c r="AC109" s="20"/>
      <c r="AD109" s="20"/>
    </row>
    <row r="110" spans="1:30" ht="18" customHeight="1">
      <c r="A110" s="20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18"/>
      <c r="M110" s="18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8" customHeight="1">
      <c r="A111" s="20"/>
      <c r="B111" s="3"/>
      <c r="C111" s="3"/>
      <c r="D111" s="3"/>
      <c r="E111" s="3"/>
      <c r="F111" s="3"/>
      <c r="G111" s="6"/>
      <c r="H111" s="6"/>
      <c r="I111" s="3"/>
      <c r="J111" s="6"/>
      <c r="K111" s="6"/>
      <c r="L111" s="3"/>
      <c r="M111" s="19"/>
      <c r="N111" s="19"/>
      <c r="O111" s="3"/>
      <c r="P111" s="11"/>
      <c r="Q111" s="11"/>
      <c r="R111" s="3"/>
      <c r="S111" s="19"/>
      <c r="T111" s="19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8" customHeight="1">
      <c r="A112" s="20"/>
      <c r="B112" s="3"/>
      <c r="C112" s="3"/>
      <c r="D112" s="3"/>
      <c r="E112" s="3"/>
      <c r="F112" s="3"/>
      <c r="G112" s="6"/>
      <c r="H112" s="6"/>
      <c r="I112" s="3"/>
      <c r="J112" s="7"/>
      <c r="K112" s="7"/>
      <c r="L112" s="3"/>
      <c r="M112" s="9"/>
      <c r="N112" s="9"/>
      <c r="O112" s="3"/>
      <c r="P112" s="11"/>
      <c r="Q112" s="11"/>
      <c r="R112" s="3"/>
      <c r="S112" s="9"/>
      <c r="T112" s="9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8" customHeight="1">
      <c r="A113" s="3"/>
      <c r="B113" s="3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8" customHeight="1">
      <c r="A114" s="3"/>
      <c r="B114" s="3"/>
      <c r="C114" s="2"/>
      <c r="D114" s="3"/>
      <c r="E114" s="3"/>
      <c r="F114" s="11"/>
      <c r="G114" s="11"/>
      <c r="H114" s="3"/>
      <c r="I114" s="3"/>
      <c r="J114" s="3"/>
      <c r="K114" s="3"/>
      <c r="L114" s="3"/>
      <c r="M114" s="6"/>
      <c r="N114" s="6"/>
      <c r="O114" s="3"/>
      <c r="P114" s="3"/>
      <c r="Q114" s="3"/>
      <c r="R114" s="5"/>
      <c r="S114" s="5"/>
      <c r="T114" s="3"/>
      <c r="U114" s="7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8" customHeight="1">
      <c r="A115" s="3"/>
      <c r="B115" s="3"/>
      <c r="D115" s="3"/>
      <c r="U115" s="3"/>
      <c r="V115" s="3"/>
      <c r="AA115" s="3"/>
      <c r="AB115" s="3"/>
      <c r="AC115" s="3"/>
      <c r="AD115" s="3"/>
    </row>
    <row r="116" spans="1:30" ht="18" customHeight="1">
      <c r="A116" s="3"/>
      <c r="B116" s="3"/>
      <c r="D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26" ht="18" customHeight="1">
      <c r="A117" s="3"/>
      <c r="B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Z117" s="3"/>
    </row>
    <row r="118" spans="1:30" ht="18" customHeight="1">
      <c r="A118" s="3"/>
      <c r="B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3"/>
      <c r="AB118" s="3"/>
      <c r="AC118" s="3"/>
      <c r="AD118" s="3"/>
    </row>
    <row r="119" spans="1:32" ht="18" customHeight="1">
      <c r="A119" s="3"/>
      <c r="B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3"/>
      <c r="AB119" s="3"/>
      <c r="AC119" s="3"/>
      <c r="AD119" s="3"/>
      <c r="AE119" s="3"/>
      <c r="AF119" s="3"/>
    </row>
    <row r="120" spans="1:32" ht="18" customHeight="1">
      <c r="A120" s="3"/>
      <c r="AA120" s="2"/>
      <c r="AB120" s="2"/>
      <c r="AC120" s="2"/>
      <c r="AD120" s="2"/>
      <c r="AE120" s="3"/>
      <c r="AF120" s="3"/>
    </row>
    <row r="121" spans="1:32" ht="18" customHeight="1">
      <c r="A121" s="3"/>
      <c r="AA121" s="2"/>
      <c r="AB121" s="2"/>
      <c r="AC121" s="2"/>
      <c r="AD121" s="2"/>
      <c r="AE121" s="3"/>
      <c r="AF121" s="3"/>
    </row>
    <row r="122" spans="1:32" ht="18" customHeight="1">
      <c r="A122" s="3"/>
      <c r="AE122" s="3"/>
      <c r="AF122" s="3"/>
    </row>
    <row r="123" spans="1:32" ht="18" customHeight="1">
      <c r="A123" s="2"/>
      <c r="AE123" s="3"/>
      <c r="AF123" s="3"/>
    </row>
    <row r="124" spans="1:32" ht="18" customHeight="1">
      <c r="A124" s="2"/>
      <c r="AE124" s="3"/>
      <c r="AF124" s="3"/>
    </row>
    <row r="125" spans="31:32" ht="13.5">
      <c r="AE125" s="3"/>
      <c r="AF125" s="3"/>
    </row>
    <row r="127" spans="31:33" ht="13.5">
      <c r="AE127" s="10"/>
      <c r="AF127" s="10"/>
      <c r="AG127" s="10"/>
    </row>
    <row r="128" spans="31:33" ht="13.5">
      <c r="AE128" s="10"/>
      <c r="AF128" s="10"/>
      <c r="AG128" s="10"/>
    </row>
  </sheetData>
  <sheetProtection sheet="1" objects="1" scenarios="1"/>
  <mergeCells count="138">
    <mergeCell ref="B5:C5"/>
    <mergeCell ref="I84:J85"/>
    <mergeCell ref="K84:K85"/>
    <mergeCell ref="L85:M85"/>
    <mergeCell ref="J5:K5"/>
    <mergeCell ref="L70:M70"/>
    <mergeCell ref="C12:C14"/>
    <mergeCell ref="L22:M22"/>
    <mergeCell ref="K24:M24"/>
    <mergeCell ref="K16:L16"/>
    <mergeCell ref="V87:X87"/>
    <mergeCell ref="L86:M86"/>
    <mergeCell ref="O86:P86"/>
    <mergeCell ref="V89:X89"/>
    <mergeCell ref="L88:M88"/>
    <mergeCell ref="O88:P88"/>
    <mergeCell ref="V88:X88"/>
    <mergeCell ref="Y82:Y83"/>
    <mergeCell ref="L83:M83"/>
    <mergeCell ref="L84:M84"/>
    <mergeCell ref="I86:J86"/>
    <mergeCell ref="V86:X86"/>
    <mergeCell ref="I82:J83"/>
    <mergeCell ref="N84:N85"/>
    <mergeCell ref="O84:P85"/>
    <mergeCell ref="V84:X85"/>
    <mergeCell ref="V78:X78"/>
    <mergeCell ref="J80:K80"/>
    <mergeCell ref="D82:F83"/>
    <mergeCell ref="K82:K83"/>
    <mergeCell ref="L82:M82"/>
    <mergeCell ref="N82:N83"/>
    <mergeCell ref="O82:P83"/>
    <mergeCell ref="U82:U83"/>
    <mergeCell ref="V82:X83"/>
    <mergeCell ref="O59:Q59"/>
    <mergeCell ref="I76:J76"/>
    <mergeCell ref="V75:X75"/>
    <mergeCell ref="I75:J75"/>
    <mergeCell ref="Q65:R65"/>
    <mergeCell ref="K68:L68"/>
    <mergeCell ref="U70:U71"/>
    <mergeCell ref="O70:P71"/>
    <mergeCell ref="I70:J70"/>
    <mergeCell ref="T65:U65"/>
    <mergeCell ref="P6:R6"/>
    <mergeCell ref="E4:G4"/>
    <mergeCell ref="G15:I15"/>
    <mergeCell ref="J2:M2"/>
    <mergeCell ref="P2:Q2"/>
    <mergeCell ref="F6:H6"/>
    <mergeCell ref="Y22:Z22"/>
    <mergeCell ref="O24:Q24"/>
    <mergeCell ref="O22:Q22"/>
    <mergeCell ref="Z16:AA16"/>
    <mergeCell ref="Z17:AA17"/>
    <mergeCell ref="W10:W14"/>
    <mergeCell ref="D8:D10"/>
    <mergeCell ref="D13:D15"/>
    <mergeCell ref="D17:D19"/>
    <mergeCell ref="M8:N8"/>
    <mergeCell ref="S50:T50"/>
    <mergeCell ref="H50:J50"/>
    <mergeCell ref="N70:N71"/>
    <mergeCell ref="O50:Q50"/>
    <mergeCell ref="P54:Q54"/>
    <mergeCell ref="L52:M52"/>
    <mergeCell ref="G53:H53"/>
    <mergeCell ref="L50:M50"/>
    <mergeCell ref="L71:M71"/>
    <mergeCell ref="T62:V62"/>
    <mergeCell ref="D70:F71"/>
    <mergeCell ref="K62:M62"/>
    <mergeCell ref="I61:J61"/>
    <mergeCell ref="J65:K65"/>
    <mergeCell ref="M65:N65"/>
    <mergeCell ref="I71:J71"/>
    <mergeCell ref="K70:K71"/>
    <mergeCell ref="AH57:AI57"/>
    <mergeCell ref="G56:H56"/>
    <mergeCell ref="L54:N54"/>
    <mergeCell ref="V76:X77"/>
    <mergeCell ref="Y76:Y77"/>
    <mergeCell ref="Y70:Y71"/>
    <mergeCell ref="V70:X71"/>
    <mergeCell ref="V74:X74"/>
    <mergeCell ref="I74:J74"/>
    <mergeCell ref="L74:M74"/>
    <mergeCell ref="D72:F73"/>
    <mergeCell ref="I72:J72"/>
    <mergeCell ref="K72:K73"/>
    <mergeCell ref="L72:M72"/>
    <mergeCell ref="N72:N73"/>
    <mergeCell ref="O72:P73"/>
    <mergeCell ref="U72:U73"/>
    <mergeCell ref="V72:X73"/>
    <mergeCell ref="Y72:Y73"/>
    <mergeCell ref="I73:J73"/>
    <mergeCell ref="L73:M73"/>
    <mergeCell ref="D76:F77"/>
    <mergeCell ref="I77:J77"/>
    <mergeCell ref="K76:K77"/>
    <mergeCell ref="L76:M77"/>
    <mergeCell ref="N76:N77"/>
    <mergeCell ref="O76:P77"/>
    <mergeCell ref="U76:U77"/>
    <mergeCell ref="AC4:AD5"/>
    <mergeCell ref="AE4:AF5"/>
    <mergeCell ref="AH4:AH5"/>
    <mergeCell ref="AN4:AN5"/>
    <mergeCell ref="AC6:AD6"/>
    <mergeCell ref="AE6:AF6"/>
    <mergeCell ref="AC7:AD7"/>
    <mergeCell ref="AE7:AF7"/>
    <mergeCell ref="AK18:AK19"/>
    <mergeCell ref="AI39:AI40"/>
    <mergeCell ref="AJ39:AJ40"/>
    <mergeCell ref="AK39:AK40"/>
    <mergeCell ref="R28:S28"/>
    <mergeCell ref="U28:V28"/>
    <mergeCell ref="F29:G29"/>
    <mergeCell ref="F30:G30"/>
    <mergeCell ref="P30:S30"/>
    <mergeCell ref="I28:J28"/>
    <mergeCell ref="L28:M28"/>
    <mergeCell ref="O28:P28"/>
    <mergeCell ref="P31:S31"/>
    <mergeCell ref="F32:G32"/>
    <mergeCell ref="P32:Q32"/>
    <mergeCell ref="U35:U36"/>
    <mergeCell ref="K31:O31"/>
    <mergeCell ref="F31:G31"/>
    <mergeCell ref="X44:Y44"/>
    <mergeCell ref="H47:N47"/>
    <mergeCell ref="Z36:Z37"/>
    <mergeCell ref="X41:Y41"/>
    <mergeCell ref="X42:Y42"/>
    <mergeCell ref="X43:Y43"/>
  </mergeCells>
  <dataValidations count="6">
    <dataValidation type="textLength" allowBlank="1" showInputMessage="1" showErrorMessage="1" sqref="AJ66">
      <formula1>3</formula1>
      <formula2>60</formula2>
    </dataValidation>
    <dataValidation type="list" allowBlank="1" showInputMessage="1" showErrorMessage="1" sqref="K31:O31">
      <formula1>$AI$5:$AM$5</formula1>
    </dataValidation>
    <dataValidation type="list" allowBlank="1" showInputMessage="1" showErrorMessage="1" sqref="P31:S31">
      <formula1>$AH$6:$AH$13</formula1>
    </dataValidation>
    <dataValidation type="list" allowBlank="1" showInputMessage="1" showErrorMessage="1" sqref="P30:S30">
      <formula1>$AH$19:$AH$28</formula1>
    </dataValidation>
    <dataValidation type="list" allowBlank="1" showInputMessage="1" showErrorMessage="1" sqref="P32:Q32">
      <formula1>$AC$36:$AC$37</formula1>
    </dataValidation>
    <dataValidation type="list" allowBlank="1" showInputMessage="1" showErrorMessage="1" sqref="H47:N47">
      <formula1>$AH$49:$AH$53</formula1>
    </dataValidation>
  </dataValidations>
  <printOptions/>
  <pageMargins left="0.69" right="0.3937007874015748" top="0.4" bottom="0.66" header="0" footer="0.11811023622047245"/>
  <pageSetup horizontalDpi="300" verticalDpi="300" orientation="portrait" paperSize="9" r:id="rId4"/>
  <headerFooter alignWithMargins="0">
    <oddFooter>&amp;L&amp;6&amp;F8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88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28" width="3.3984375" style="1" customWidth="1"/>
    <col min="29" max="29" width="10.8984375" style="1" customWidth="1"/>
    <col min="30" max="30" width="3.3984375" style="1" customWidth="1"/>
    <col min="31" max="31" width="3.09765625" style="1" customWidth="1"/>
    <col min="32" max="16384" width="4.69921875" style="1" customWidth="1"/>
  </cols>
  <sheetData>
    <row r="1" spans="2:33" s="22" customFormat="1" ht="18" customHeight="1">
      <c r="B1" s="484" t="s">
        <v>804</v>
      </c>
      <c r="C1" s="335"/>
      <c r="D1" s="72"/>
      <c r="E1" s="72"/>
      <c r="F1" s="72"/>
      <c r="G1" s="72"/>
      <c r="H1" s="72"/>
      <c r="I1" s="72"/>
      <c r="J1" s="72"/>
      <c r="K1" s="72"/>
      <c r="L1" s="72"/>
      <c r="M1" s="64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64"/>
      <c r="AC1" s="72"/>
      <c r="AD1" s="261"/>
      <c r="AE1" s="261"/>
      <c r="AF1" s="261"/>
      <c r="AG1" s="261"/>
    </row>
    <row r="2" spans="1:33" s="22" customFormat="1" ht="18" customHeight="1">
      <c r="A2" s="72"/>
      <c r="B2" s="72"/>
      <c r="C2" s="335"/>
      <c r="D2" s="72"/>
      <c r="E2" s="72"/>
      <c r="F2" s="72"/>
      <c r="G2" s="72"/>
      <c r="H2" s="72"/>
      <c r="I2" s="72"/>
      <c r="J2" s="72"/>
      <c r="K2" s="72"/>
      <c r="L2" s="72"/>
      <c r="M2" s="64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64"/>
      <c r="AC2" s="72"/>
      <c r="AD2" s="261"/>
      <c r="AE2" s="261"/>
      <c r="AF2" s="261"/>
      <c r="AG2" s="261"/>
    </row>
    <row r="3" spans="1:33" s="22" customFormat="1" ht="18" customHeight="1">
      <c r="A3" s="72"/>
      <c r="B3" s="72"/>
      <c r="C3" s="335"/>
      <c r="D3" s="72"/>
      <c r="E3" s="72"/>
      <c r="F3" s="72"/>
      <c r="G3" s="72"/>
      <c r="H3" s="72"/>
      <c r="I3" s="72"/>
      <c r="J3" s="72"/>
      <c r="K3" s="72"/>
      <c r="L3" s="72"/>
      <c r="M3" s="64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64"/>
      <c r="AC3" s="72"/>
      <c r="AD3" s="261"/>
      <c r="AE3" s="261"/>
      <c r="AF3" s="261"/>
      <c r="AG3" s="261"/>
    </row>
    <row r="4" spans="1:33" ht="18" customHeight="1">
      <c r="A4" s="80"/>
      <c r="B4" s="80"/>
      <c r="C4" s="36" t="s">
        <v>387</v>
      </c>
      <c r="D4" s="36"/>
      <c r="E4" s="36"/>
      <c r="F4" s="36"/>
      <c r="G4" s="36"/>
      <c r="H4" s="577" t="s">
        <v>72</v>
      </c>
      <c r="I4" s="577"/>
      <c r="J4" s="577"/>
      <c r="K4" s="577"/>
      <c r="L4" s="36"/>
      <c r="M4" s="41" t="s">
        <v>2</v>
      </c>
      <c r="N4" s="579">
        <f>VLOOKUP($H$4,'使用材一覧'!$AC$32:$AH$33,2,FALSE)</f>
        <v>7</v>
      </c>
      <c r="O4" s="579"/>
      <c r="P4" s="36" t="s">
        <v>1</v>
      </c>
      <c r="Q4" s="41" t="s">
        <v>3</v>
      </c>
      <c r="R4" s="41"/>
      <c r="S4" s="80"/>
      <c r="T4" s="80"/>
      <c r="U4" s="80"/>
      <c r="V4" s="80"/>
      <c r="W4" s="80"/>
      <c r="X4" s="80"/>
      <c r="Y4" s="80"/>
      <c r="Z4" s="80"/>
      <c r="AA4" s="80"/>
      <c r="AB4" s="80"/>
      <c r="AC4" s="558" t="s">
        <v>95</v>
      </c>
      <c r="AD4" s="80"/>
      <c r="AE4" s="80"/>
      <c r="AF4" s="80"/>
      <c r="AG4" s="80"/>
    </row>
    <row r="5" spans="1:33" ht="18" customHeight="1">
      <c r="A5" s="80"/>
      <c r="B5" s="80"/>
      <c r="C5" s="36"/>
      <c r="D5" s="36" t="s">
        <v>4</v>
      </c>
      <c r="E5" s="36"/>
      <c r="F5" s="36"/>
      <c r="G5" s="36"/>
      <c r="H5" s="50"/>
      <c r="I5" s="36"/>
      <c r="J5" s="36"/>
      <c r="K5" s="587" t="s">
        <v>529</v>
      </c>
      <c r="L5" s="560"/>
      <c r="M5" s="539">
        <f>VLOOKUP($H$4,'使用材一覧'!$AC$32:$AH$33,3,FALSE)</f>
        <v>11800</v>
      </c>
      <c r="N5" s="539"/>
      <c r="O5" s="585"/>
      <c r="P5" s="36"/>
      <c r="Q5" s="36" t="s">
        <v>75</v>
      </c>
      <c r="R5" s="36"/>
      <c r="S5" s="80"/>
      <c r="T5" s="80"/>
      <c r="U5" s="80"/>
      <c r="V5" s="80"/>
      <c r="W5" s="80"/>
      <c r="X5" s="80"/>
      <c r="Y5" s="80"/>
      <c r="Z5" s="80"/>
      <c r="AA5" s="80"/>
      <c r="AB5" s="80"/>
      <c r="AC5" s="559"/>
      <c r="AD5" s="80"/>
      <c r="AE5" s="80"/>
      <c r="AF5" s="80"/>
      <c r="AG5" s="80"/>
    </row>
    <row r="6" spans="1:33" ht="18" customHeight="1">
      <c r="A6" s="80"/>
      <c r="B6" s="80"/>
      <c r="C6" s="36"/>
      <c r="D6" s="36" t="s">
        <v>5</v>
      </c>
      <c r="E6" s="36"/>
      <c r="F6" s="36"/>
      <c r="G6" s="36"/>
      <c r="H6" s="36"/>
      <c r="I6" s="36"/>
      <c r="J6" s="36"/>
      <c r="K6" s="587" t="s">
        <v>530</v>
      </c>
      <c r="L6" s="587"/>
      <c r="M6" s="679">
        <v>5</v>
      </c>
      <c r="N6" s="679"/>
      <c r="O6" s="680"/>
      <c r="P6" s="36"/>
      <c r="Q6" s="36"/>
      <c r="R6" s="36"/>
      <c r="S6" s="80"/>
      <c r="T6" s="80"/>
      <c r="U6" s="80"/>
      <c r="V6" s="80"/>
      <c r="W6" s="80"/>
      <c r="X6" s="80"/>
      <c r="Y6" s="80"/>
      <c r="Z6" s="80"/>
      <c r="AA6" s="80"/>
      <c r="AB6" s="80"/>
      <c r="AC6" s="163" t="s">
        <v>71</v>
      </c>
      <c r="AD6" s="80"/>
      <c r="AE6" s="80"/>
      <c r="AF6" s="80"/>
      <c r="AG6" s="80"/>
    </row>
    <row r="7" spans="1:33" ht="18" customHeight="1">
      <c r="A7" s="80"/>
      <c r="B7" s="80"/>
      <c r="C7" s="36"/>
      <c r="D7" s="36" t="s">
        <v>6</v>
      </c>
      <c r="E7" s="36"/>
      <c r="F7" s="36"/>
      <c r="G7" s="36"/>
      <c r="H7" s="36"/>
      <c r="I7" s="36"/>
      <c r="J7" s="36"/>
      <c r="K7" s="587" t="s">
        <v>531</v>
      </c>
      <c r="L7" s="587"/>
      <c r="M7" s="539">
        <f>VLOOKUP($H$4,'使用材一覧'!$AC$32:$AH$33,5,FALSE)</f>
        <v>4250</v>
      </c>
      <c r="N7" s="539"/>
      <c r="O7" s="527"/>
      <c r="P7" s="36"/>
      <c r="Q7" s="36" t="s">
        <v>75</v>
      </c>
      <c r="R7" s="36"/>
      <c r="S7" s="80"/>
      <c r="T7" s="80"/>
      <c r="U7" s="80"/>
      <c r="V7" s="80"/>
      <c r="W7" s="80"/>
      <c r="X7" s="80"/>
      <c r="Y7" s="80"/>
      <c r="Z7" s="80"/>
      <c r="AA7" s="80"/>
      <c r="AB7" s="80"/>
      <c r="AC7" s="166" t="s">
        <v>72</v>
      </c>
      <c r="AD7" s="80"/>
      <c r="AE7" s="80"/>
      <c r="AF7" s="80"/>
      <c r="AG7" s="80"/>
    </row>
    <row r="8" spans="1:33" ht="18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9" spans="1:33" ht="18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79"/>
      <c r="AE9" s="79"/>
      <c r="AF9" s="80"/>
      <c r="AG9" s="80"/>
    </row>
    <row r="10" spans="1:33" ht="18" customHeight="1">
      <c r="A10" s="36"/>
      <c r="B10" s="36" t="s">
        <v>388</v>
      </c>
      <c r="C10" s="80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79"/>
      <c r="AE10" s="79"/>
      <c r="AF10" s="80"/>
      <c r="AG10" s="80"/>
    </row>
    <row r="11" spans="1:33" ht="18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801">
        <f>'朝顔'!$D$17+'朝顔'!$D$13</f>
        <v>2350</v>
      </c>
      <c r="Z11" s="36"/>
      <c r="AA11" s="36"/>
      <c r="AB11" s="36"/>
      <c r="AC11" s="36"/>
      <c r="AD11" s="79"/>
      <c r="AE11" s="79"/>
      <c r="AF11" s="80"/>
      <c r="AG11" s="80"/>
    </row>
    <row r="12" spans="1:67" ht="18" customHeight="1">
      <c r="A12" s="36"/>
      <c r="B12" s="36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41"/>
      <c r="T12" s="41"/>
      <c r="U12" s="544">
        <f>SQRT($V$16^2+$Y$11^2)</f>
        <v>2535</v>
      </c>
      <c r="V12" s="544"/>
      <c r="W12" s="544"/>
      <c r="X12" s="36"/>
      <c r="Y12" s="801"/>
      <c r="Z12" s="36"/>
      <c r="AA12" s="36"/>
      <c r="AB12" s="79"/>
      <c r="AC12" s="36"/>
      <c r="AD12" s="156"/>
      <c r="AE12" s="156"/>
      <c r="AF12" s="156"/>
      <c r="AG12" s="157"/>
      <c r="AH12" s="15"/>
      <c r="AI12" s="14"/>
      <c r="AJ12" s="16"/>
      <c r="AK12" s="15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</row>
    <row r="13" spans="1:67" ht="18" customHeight="1">
      <c r="A13" s="36"/>
      <c r="B13" s="36"/>
      <c r="C13" s="36"/>
      <c r="D13" s="36" t="s">
        <v>163</v>
      </c>
      <c r="E13" s="36"/>
      <c r="F13" s="36"/>
      <c r="G13" s="36"/>
      <c r="H13" s="36"/>
      <c r="I13" s="36"/>
      <c r="J13" s="586">
        <f>'朝顔'!$Z$16</f>
        <v>1000</v>
      </c>
      <c r="K13" s="689"/>
      <c r="L13" s="689"/>
      <c r="M13" s="36" t="s">
        <v>389</v>
      </c>
      <c r="N13" s="36"/>
      <c r="O13" s="36"/>
      <c r="P13" s="80"/>
      <c r="Q13" s="80"/>
      <c r="R13" s="80"/>
      <c r="S13" s="36"/>
      <c r="T13" s="165"/>
      <c r="U13" s="544"/>
      <c r="V13" s="544"/>
      <c r="W13" s="544"/>
      <c r="X13" s="36"/>
      <c r="Y13" s="801"/>
      <c r="Z13" s="36"/>
      <c r="AA13" s="36"/>
      <c r="AB13" s="79"/>
      <c r="AC13" s="36"/>
      <c r="AD13" s="158"/>
      <c r="AE13" s="158"/>
      <c r="AF13" s="158"/>
      <c r="AG13" s="158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</row>
    <row r="14" spans="1:67" ht="18" customHeight="1">
      <c r="A14" s="36"/>
      <c r="B14" s="36"/>
      <c r="C14" s="36"/>
      <c r="D14" s="36" t="s">
        <v>161</v>
      </c>
      <c r="E14" s="36"/>
      <c r="F14" s="36"/>
      <c r="G14" s="544">
        <f>'足場板'!$V$33</f>
        <v>1860</v>
      </c>
      <c r="H14" s="544"/>
      <c r="I14" s="36" t="s">
        <v>162</v>
      </c>
      <c r="J14" s="36"/>
      <c r="K14" s="36"/>
      <c r="L14" s="36"/>
      <c r="M14" s="36"/>
      <c r="N14" s="36"/>
      <c r="O14" s="36"/>
      <c r="P14" s="75"/>
      <c r="Q14" s="112"/>
      <c r="R14" s="112"/>
      <c r="S14" s="36"/>
      <c r="T14" s="36"/>
      <c r="U14" s="36"/>
      <c r="V14" s="36"/>
      <c r="W14" s="36"/>
      <c r="X14" s="36"/>
      <c r="Y14" s="801"/>
      <c r="Z14" s="36"/>
      <c r="AA14" s="36"/>
      <c r="AB14" s="79"/>
      <c r="AC14" s="161"/>
      <c r="AD14" s="158"/>
      <c r="AE14" s="158"/>
      <c r="AF14" s="158"/>
      <c r="AG14" s="158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</row>
    <row r="15" spans="1:67" ht="18" customHeight="1">
      <c r="A15" s="36"/>
      <c r="B15" s="3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165"/>
      <c r="T15" s="165"/>
      <c r="U15" s="36"/>
      <c r="V15" s="36"/>
      <c r="W15" s="36"/>
      <c r="X15" s="36"/>
      <c r="Y15" s="36"/>
      <c r="Z15" s="36"/>
      <c r="AA15" s="36"/>
      <c r="AB15" s="79"/>
      <c r="AC15" s="36"/>
      <c r="AD15" s="158"/>
      <c r="AE15" s="158"/>
      <c r="AF15" s="158"/>
      <c r="AG15" s="158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</row>
    <row r="16" spans="1:69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41"/>
      <c r="O16" s="96"/>
      <c r="P16" s="96"/>
      <c r="Q16" s="96"/>
      <c r="R16" s="96"/>
      <c r="S16" s="96"/>
      <c r="T16" s="36"/>
      <c r="U16" s="36"/>
      <c r="V16" s="544">
        <f>'朝顔'!$O$22</f>
        <v>950</v>
      </c>
      <c r="W16" s="544"/>
      <c r="X16" s="544"/>
      <c r="Y16" s="36"/>
      <c r="Z16" s="36"/>
      <c r="AA16" s="36"/>
      <c r="AB16" s="36"/>
      <c r="AC16" s="36"/>
      <c r="AD16" s="79"/>
      <c r="AE16" s="36"/>
      <c r="AF16" s="158"/>
      <c r="AG16" s="158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</row>
    <row r="17" spans="1:33" ht="18" customHeight="1">
      <c r="A17" s="36"/>
      <c r="B17" s="36"/>
      <c r="C17" s="36"/>
      <c r="D17" s="36"/>
      <c r="E17" s="36"/>
      <c r="F17" s="36"/>
      <c r="G17" s="36"/>
      <c r="H17" s="39"/>
      <c r="I17" s="39"/>
      <c r="J17" s="36"/>
      <c r="K17" s="36"/>
      <c r="L17" s="36"/>
      <c r="M17" s="36"/>
      <c r="N17" s="36"/>
      <c r="O17" s="36"/>
      <c r="P17" s="36"/>
      <c r="Q17" s="75"/>
      <c r="R17" s="112"/>
      <c r="S17" s="112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79"/>
      <c r="AE17" s="79"/>
      <c r="AF17" s="80"/>
      <c r="AG17" s="80"/>
    </row>
    <row r="18" spans="1:33" ht="18" customHeight="1">
      <c r="A18" s="36"/>
      <c r="B18" s="36"/>
      <c r="C18" s="36"/>
      <c r="D18" s="652" t="s">
        <v>537</v>
      </c>
      <c r="E18" s="652"/>
      <c r="F18" s="541" t="s">
        <v>538</v>
      </c>
      <c r="G18" s="541"/>
      <c r="H18" s="544">
        <f>'朝顔'!$V$78</f>
        <v>9928</v>
      </c>
      <c r="I18" s="544"/>
      <c r="J18" s="541" t="s">
        <v>390</v>
      </c>
      <c r="K18" s="544">
        <f>'朝顔'!$V$89</f>
        <v>37319</v>
      </c>
      <c r="L18" s="544"/>
      <c r="M18" s="540"/>
      <c r="N18" s="652" t="s">
        <v>391</v>
      </c>
      <c r="O18" s="540"/>
      <c r="P18" s="803">
        <f>$J$13/1000</f>
        <v>1</v>
      </c>
      <c r="Q18" s="803"/>
      <c r="R18" s="541" t="s">
        <v>390</v>
      </c>
      <c r="S18" s="544">
        <f>$G$14</f>
        <v>1860</v>
      </c>
      <c r="T18" s="544"/>
      <c r="U18" s="541" t="s">
        <v>392</v>
      </c>
      <c r="V18" s="544">
        <f>($H$18+$K$18)*$P$18/$P$19+S18</f>
        <v>3041</v>
      </c>
      <c r="W18" s="544"/>
      <c r="X18" s="656" t="s">
        <v>393</v>
      </c>
      <c r="Y18" s="36"/>
      <c r="Z18" s="36"/>
      <c r="AA18" s="36"/>
      <c r="AB18" s="36"/>
      <c r="AC18" s="36"/>
      <c r="AD18" s="36"/>
      <c r="AE18" s="79"/>
      <c r="AF18" s="79"/>
      <c r="AG18" s="80"/>
    </row>
    <row r="19" spans="1:33" ht="18" customHeight="1">
      <c r="A19" s="36"/>
      <c r="B19" s="36"/>
      <c r="C19" s="36"/>
      <c r="D19" s="652"/>
      <c r="E19" s="652"/>
      <c r="F19" s="541"/>
      <c r="G19" s="541"/>
      <c r="H19" s="531"/>
      <c r="I19" s="531"/>
      <c r="J19" s="541"/>
      <c r="K19" s="531"/>
      <c r="L19" s="531"/>
      <c r="M19" s="540"/>
      <c r="N19" s="652"/>
      <c r="O19" s="540"/>
      <c r="P19" s="804">
        <f>'朝顔'!$J$80</f>
        <v>40</v>
      </c>
      <c r="Q19" s="804"/>
      <c r="R19" s="541"/>
      <c r="S19" s="531"/>
      <c r="T19" s="531"/>
      <c r="U19" s="541"/>
      <c r="V19" s="531"/>
      <c r="W19" s="531"/>
      <c r="X19" s="656"/>
      <c r="Y19" s="36"/>
      <c r="Z19" s="36"/>
      <c r="AA19" s="36"/>
      <c r="AB19" s="36"/>
      <c r="AC19" s="36"/>
      <c r="AD19" s="36"/>
      <c r="AE19" s="79"/>
      <c r="AF19" s="79"/>
      <c r="AG19" s="80"/>
    </row>
    <row r="20" spans="1:33" s="22" customFormat="1" ht="18" customHeight="1">
      <c r="A20" s="72"/>
      <c r="B20" s="72"/>
      <c r="C20" s="335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261"/>
      <c r="AF20" s="261"/>
      <c r="AG20" s="261"/>
    </row>
    <row r="21" spans="1:33" ht="18" customHeight="1">
      <c r="A21" s="36"/>
      <c r="B21" s="36"/>
      <c r="C21" s="36"/>
      <c r="D21" s="652" t="s">
        <v>539</v>
      </c>
      <c r="E21" s="652"/>
      <c r="F21" s="541" t="s">
        <v>540</v>
      </c>
      <c r="G21" s="541"/>
      <c r="H21" s="525">
        <f>$U$12</f>
        <v>2535</v>
      </c>
      <c r="I21" s="525"/>
      <c r="J21" s="541" t="s">
        <v>394</v>
      </c>
      <c r="K21" s="544">
        <f>$V$18</f>
        <v>3041</v>
      </c>
      <c r="L21" s="544"/>
      <c r="M21" s="541" t="s">
        <v>395</v>
      </c>
      <c r="N21" s="544">
        <f>$H$21/$H$22*$K$21</f>
        <v>3280</v>
      </c>
      <c r="O21" s="544"/>
      <c r="P21" s="656" t="s">
        <v>396</v>
      </c>
      <c r="Q21" s="541" t="str">
        <f>IF($N$21&lt;=$T$21,"＜","＞")</f>
        <v>＜</v>
      </c>
      <c r="R21" s="541" t="s">
        <v>397</v>
      </c>
      <c r="S21" s="540"/>
      <c r="T21" s="544">
        <f>$M$7</f>
        <v>4250</v>
      </c>
      <c r="U21" s="544"/>
      <c r="V21" s="656" t="s">
        <v>396</v>
      </c>
      <c r="W21" s="517">
        <f>IF($N$21&lt;=$T$21,"","NG")</f>
      </c>
      <c r="X21" s="517"/>
      <c r="Y21" s="517"/>
      <c r="Z21" s="517"/>
      <c r="AA21" s="36"/>
      <c r="AB21" s="36"/>
      <c r="AC21" s="36"/>
      <c r="AD21" s="79"/>
      <c r="AE21" s="79"/>
      <c r="AF21" s="80"/>
      <c r="AG21" s="80"/>
    </row>
    <row r="22" spans="1:33" ht="18" customHeight="1">
      <c r="A22" s="36"/>
      <c r="B22" s="36"/>
      <c r="C22" s="36"/>
      <c r="D22" s="652"/>
      <c r="E22" s="652"/>
      <c r="F22" s="541"/>
      <c r="G22" s="541"/>
      <c r="H22" s="827">
        <f>$Y$11</f>
        <v>2350</v>
      </c>
      <c r="I22" s="681"/>
      <c r="J22" s="541"/>
      <c r="K22" s="531"/>
      <c r="L22" s="531"/>
      <c r="M22" s="541"/>
      <c r="N22" s="531"/>
      <c r="O22" s="531"/>
      <c r="P22" s="656"/>
      <c r="Q22" s="541"/>
      <c r="R22" s="540"/>
      <c r="S22" s="540"/>
      <c r="T22" s="531"/>
      <c r="U22" s="531"/>
      <c r="V22" s="656"/>
      <c r="W22" s="517"/>
      <c r="X22" s="517"/>
      <c r="Y22" s="517"/>
      <c r="Z22" s="517"/>
      <c r="AA22" s="36"/>
      <c r="AB22" s="36"/>
      <c r="AC22" s="36"/>
      <c r="AD22" s="79"/>
      <c r="AE22" s="79"/>
      <c r="AF22" s="80"/>
      <c r="AG22" s="80"/>
    </row>
    <row r="23" spans="1:33" s="22" customFormat="1" ht="18" customHeight="1">
      <c r="A23" s="72"/>
      <c r="B23" s="72"/>
      <c r="C23" s="335"/>
      <c r="D23" s="72"/>
      <c r="E23" s="72"/>
      <c r="F23" s="72"/>
      <c r="G23" s="72"/>
      <c r="H23" s="72"/>
      <c r="I23" s="72"/>
      <c r="J23" s="72"/>
      <c r="K23" s="72"/>
      <c r="L23" s="64"/>
      <c r="M23" s="337"/>
      <c r="N23" s="337"/>
      <c r="O23" s="337"/>
      <c r="P23" s="72"/>
      <c r="Q23" s="64"/>
      <c r="R23" s="64"/>
      <c r="S23" s="337"/>
      <c r="T23" s="337"/>
      <c r="U23" s="337"/>
      <c r="V23" s="72"/>
      <c r="W23" s="72"/>
      <c r="X23" s="72"/>
      <c r="Y23" s="72"/>
      <c r="Z23" s="72"/>
      <c r="AA23" s="72"/>
      <c r="AB23" s="72"/>
      <c r="AC23" s="72"/>
      <c r="AD23" s="72"/>
      <c r="AE23" s="261"/>
      <c r="AF23" s="261"/>
      <c r="AG23" s="261"/>
    </row>
    <row r="24" spans="1:33" s="22" customFormat="1" ht="18" customHeight="1">
      <c r="A24" s="72"/>
      <c r="B24" s="72"/>
      <c r="C24" s="335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64"/>
      <c r="R24" s="261"/>
      <c r="S24" s="261"/>
      <c r="T24" s="72"/>
      <c r="U24" s="72"/>
      <c r="V24" s="72"/>
      <c r="X24" s="72"/>
      <c r="Y24" s="72"/>
      <c r="Z24" s="72"/>
      <c r="AA24" s="72"/>
      <c r="AB24" s="72"/>
      <c r="AC24" s="72"/>
      <c r="AD24" s="72"/>
      <c r="AE24" s="261"/>
      <c r="AF24" s="261"/>
      <c r="AG24" s="261"/>
    </row>
    <row r="25" spans="1:33" s="22" customFormat="1" ht="18" customHeight="1">
      <c r="A25" s="72"/>
      <c r="B25" s="36" t="s">
        <v>398</v>
      </c>
      <c r="C25" s="335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64"/>
      <c r="P25" s="337"/>
      <c r="Q25" s="337"/>
      <c r="R25" s="337"/>
      <c r="S25" s="64"/>
      <c r="T25" s="72"/>
      <c r="U25" s="72"/>
      <c r="V25" s="261"/>
      <c r="W25" s="72"/>
      <c r="X25" s="72"/>
      <c r="Y25" s="261"/>
      <c r="Z25" s="72"/>
      <c r="AA25" s="72"/>
      <c r="AB25" s="72"/>
      <c r="AC25" s="72"/>
      <c r="AD25" s="72"/>
      <c r="AE25" s="261"/>
      <c r="AF25" s="261"/>
      <c r="AG25" s="261"/>
    </row>
    <row r="26" spans="1:33" s="22" customFormat="1" ht="18" customHeight="1">
      <c r="A26" s="72"/>
      <c r="B26" s="72"/>
      <c r="C26" s="335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64"/>
      <c r="S26" s="64"/>
      <c r="T26" s="72"/>
      <c r="U26" s="72"/>
      <c r="Y26" s="72"/>
      <c r="Z26" s="72"/>
      <c r="AA26" s="72"/>
      <c r="AB26" s="72"/>
      <c r="AC26" s="72"/>
      <c r="AD26" s="261"/>
      <c r="AE26" s="261"/>
      <c r="AF26" s="261"/>
      <c r="AG26" s="261"/>
    </row>
    <row r="27" spans="1:33" s="22" customFormat="1" ht="18" customHeight="1">
      <c r="A27" s="72"/>
      <c r="B27" s="72"/>
      <c r="C27" s="335"/>
      <c r="D27" s="72"/>
      <c r="E27" s="72"/>
      <c r="F27" s="72"/>
      <c r="G27" s="72"/>
      <c r="H27" s="72"/>
      <c r="I27" s="72"/>
      <c r="J27" s="72"/>
      <c r="K27" s="72" t="s">
        <v>399</v>
      </c>
      <c r="L27" s="72"/>
      <c r="M27" s="72"/>
      <c r="O27" s="72"/>
      <c r="W27" s="72"/>
      <c r="X27" s="72"/>
      <c r="Y27" s="72"/>
      <c r="Z27" s="72"/>
      <c r="AA27" s="72"/>
      <c r="AB27" s="72"/>
      <c r="AC27" s="72"/>
      <c r="AD27" s="261"/>
      <c r="AE27" s="261"/>
      <c r="AF27" s="261"/>
      <c r="AG27" s="261"/>
    </row>
    <row r="28" spans="1:33" s="22" customFormat="1" ht="18" customHeight="1">
      <c r="A28" s="72"/>
      <c r="B28" s="72"/>
      <c r="C28" s="335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P28" s="72" t="s">
        <v>165</v>
      </c>
      <c r="Q28" s="72"/>
      <c r="R28" s="72"/>
      <c r="S28" s="72"/>
      <c r="T28" s="72" t="s">
        <v>222</v>
      </c>
      <c r="U28" s="783">
        <f>'朝顔'!$Z$17</f>
        <v>1000</v>
      </c>
      <c r="V28" s="783"/>
      <c r="W28" s="72"/>
      <c r="X28" s="72"/>
      <c r="Y28" s="72"/>
      <c r="Z28" s="72"/>
      <c r="AA28" s="72"/>
      <c r="AB28" s="72"/>
      <c r="AC28" s="72"/>
      <c r="AD28" s="261"/>
      <c r="AE28" s="261"/>
      <c r="AF28" s="261"/>
      <c r="AG28" s="261"/>
    </row>
    <row r="29" spans="1:33" s="22" customFormat="1" ht="18" customHeight="1">
      <c r="A29" s="72"/>
      <c r="B29" s="72"/>
      <c r="C29" s="335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R29" s="72"/>
      <c r="S29" s="72"/>
      <c r="T29" s="72"/>
      <c r="U29" s="72"/>
      <c r="V29" s="72"/>
      <c r="W29" s="72"/>
      <c r="X29" s="72"/>
      <c r="Y29" s="64"/>
      <c r="Z29" s="64"/>
      <c r="AA29" s="64"/>
      <c r="AB29" s="72"/>
      <c r="AC29" s="72"/>
      <c r="AD29" s="261"/>
      <c r="AE29" s="261"/>
      <c r="AF29" s="261"/>
      <c r="AG29" s="261"/>
    </row>
    <row r="30" spans="1:33" s="22" customFormat="1" ht="18" customHeight="1">
      <c r="A30" s="72"/>
      <c r="B30" s="72"/>
      <c r="C30" s="335"/>
      <c r="D30" s="72"/>
      <c r="E30" s="72"/>
      <c r="F30" s="801">
        <f>'朝顔'!$D$8+'朝顔'!$W$10</f>
        <v>2433</v>
      </c>
      <c r="G30" s="72"/>
      <c r="H30" s="72"/>
      <c r="I30" s="72"/>
      <c r="J30" s="72"/>
      <c r="K30" s="72"/>
      <c r="L30" s="72"/>
      <c r="M30" s="72"/>
      <c r="N30" s="507">
        <f>'朝顔'!M8</f>
        <v>450</v>
      </c>
      <c r="O30" s="507"/>
      <c r="P30" s="507"/>
      <c r="Q30" s="72"/>
      <c r="U30" s="72"/>
      <c r="V30" s="72"/>
      <c r="W30" s="72"/>
      <c r="X30" s="72"/>
      <c r="Y30" s="64"/>
      <c r="Z30" s="64"/>
      <c r="AA30" s="64"/>
      <c r="AB30" s="72"/>
      <c r="AC30" s="72"/>
      <c r="AD30" s="261"/>
      <c r="AE30" s="261"/>
      <c r="AF30" s="261"/>
      <c r="AG30" s="261"/>
    </row>
    <row r="31" spans="1:33" s="22" customFormat="1" ht="18" customHeight="1">
      <c r="A31" s="72"/>
      <c r="B31" s="72"/>
      <c r="C31" s="335"/>
      <c r="D31" s="72"/>
      <c r="E31" s="72"/>
      <c r="F31" s="801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338"/>
      <c r="Z31" s="72"/>
      <c r="AA31" s="72"/>
      <c r="AB31" s="72"/>
      <c r="AC31" s="72"/>
      <c r="AD31" s="261"/>
      <c r="AE31" s="261"/>
      <c r="AF31" s="261"/>
      <c r="AG31" s="261"/>
    </row>
    <row r="32" spans="1:33" s="22" customFormat="1" ht="18" customHeight="1">
      <c r="A32" s="72"/>
      <c r="B32" s="72"/>
      <c r="C32" s="335"/>
      <c r="D32" s="72"/>
      <c r="E32" s="72"/>
      <c r="F32" s="801"/>
      <c r="G32" s="72"/>
      <c r="H32" s="72"/>
      <c r="I32" s="72"/>
      <c r="J32" s="72"/>
      <c r="K32" s="72"/>
      <c r="L32" s="72"/>
      <c r="M32" s="72"/>
      <c r="N32" s="72"/>
      <c r="O32" s="72"/>
      <c r="P32" s="261"/>
      <c r="Q32" s="72"/>
      <c r="R32" s="72"/>
      <c r="S32" s="72"/>
      <c r="T32" s="72"/>
      <c r="U32" s="72"/>
      <c r="V32" s="801">
        <f>'朝顔'!$W$10</f>
        <v>1133</v>
      </c>
      <c r="W32" s="72"/>
      <c r="X32" s="72"/>
      <c r="Y32" s="72"/>
      <c r="Z32" s="72"/>
      <c r="AA32" s="72"/>
      <c r="AB32" s="72"/>
      <c r="AC32" s="72"/>
      <c r="AD32" s="261"/>
      <c r="AE32" s="261"/>
      <c r="AF32" s="261"/>
      <c r="AG32" s="261"/>
    </row>
    <row r="33" spans="1:33" s="22" customFormat="1" ht="18" customHeight="1">
      <c r="A33" s="72"/>
      <c r="B33" s="72"/>
      <c r="C33" s="335"/>
      <c r="D33" s="72"/>
      <c r="E33" s="72"/>
      <c r="F33" s="805" t="s">
        <v>541</v>
      </c>
      <c r="G33" s="72"/>
      <c r="H33" s="72"/>
      <c r="I33" s="339" t="s">
        <v>322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801"/>
      <c r="W33" s="72"/>
      <c r="X33" s="72"/>
      <c r="Y33" s="72"/>
      <c r="Z33" s="72"/>
      <c r="AA33" s="72"/>
      <c r="AB33" s="64"/>
      <c r="AC33" s="72"/>
      <c r="AD33" s="261"/>
      <c r="AE33" s="261"/>
      <c r="AF33" s="261"/>
      <c r="AG33" s="261"/>
    </row>
    <row r="34" spans="1:33" s="22" customFormat="1" ht="18" customHeight="1">
      <c r="A34" s="72"/>
      <c r="B34" s="72"/>
      <c r="C34" s="335"/>
      <c r="D34" s="72"/>
      <c r="E34" s="72"/>
      <c r="F34" s="806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801"/>
      <c r="W34" s="72"/>
      <c r="X34" s="72"/>
      <c r="Y34" s="72"/>
      <c r="Z34" s="72"/>
      <c r="AA34" s="72"/>
      <c r="AB34" s="64"/>
      <c r="AC34" s="72"/>
      <c r="AD34" s="261"/>
      <c r="AE34" s="261"/>
      <c r="AF34" s="261"/>
      <c r="AG34" s="261"/>
    </row>
    <row r="35" spans="1:33" s="22" customFormat="1" ht="18" customHeight="1">
      <c r="A35" s="72"/>
      <c r="B35" s="72"/>
      <c r="C35" s="335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825" t="s">
        <v>400</v>
      </c>
      <c r="R35" s="72"/>
      <c r="S35" s="72"/>
      <c r="T35" s="72"/>
      <c r="U35" s="72"/>
      <c r="V35" s="801"/>
      <c r="W35" s="72"/>
      <c r="X35" s="72"/>
      <c r="Y35" s="72"/>
      <c r="Z35" s="72"/>
      <c r="AA35" s="72"/>
      <c r="AB35" s="64"/>
      <c r="AC35" s="72"/>
      <c r="AD35" s="261"/>
      <c r="AE35" s="261"/>
      <c r="AF35" s="261"/>
      <c r="AG35" s="261"/>
    </row>
    <row r="36" spans="1:33" s="22" customFormat="1" ht="18" customHeight="1">
      <c r="A36" s="72"/>
      <c r="B36" s="72"/>
      <c r="C36" s="335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802"/>
      <c r="R36" s="72"/>
      <c r="S36" s="72"/>
      <c r="T36" s="72"/>
      <c r="U36" s="72"/>
      <c r="V36" s="801"/>
      <c r="W36" s="72"/>
      <c r="X36" s="72"/>
      <c r="Y36" s="72"/>
      <c r="Z36" s="72"/>
      <c r="AA36" s="72"/>
      <c r="AB36" s="64"/>
      <c r="AC36" s="72"/>
      <c r="AD36" s="261"/>
      <c r="AE36" s="261"/>
      <c r="AF36" s="261"/>
      <c r="AG36" s="261"/>
    </row>
    <row r="37" spans="1:33" s="22" customFormat="1" ht="18" customHeight="1">
      <c r="A37" s="72"/>
      <c r="B37" s="72"/>
      <c r="C37" s="335"/>
      <c r="D37" s="341" t="s">
        <v>401</v>
      </c>
      <c r="E37" s="72"/>
      <c r="F37" s="801">
        <f>'朝顔'!$D$13-'朝顔'!$W$10+'朝顔'!$D$17</f>
        <v>1217</v>
      </c>
      <c r="G37" s="72"/>
      <c r="H37" s="72"/>
      <c r="I37" s="72"/>
      <c r="J37" s="72"/>
      <c r="K37" s="72"/>
      <c r="L37" s="72"/>
      <c r="M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64"/>
      <c r="AC37" s="72"/>
      <c r="AD37" s="261"/>
      <c r="AE37" s="261"/>
      <c r="AF37" s="261"/>
      <c r="AG37" s="261"/>
    </row>
    <row r="38" spans="1:33" s="22" customFormat="1" ht="18" customHeight="1">
      <c r="A38" s="72"/>
      <c r="B38" s="72"/>
      <c r="C38" s="335"/>
      <c r="D38" s="72"/>
      <c r="E38" s="72"/>
      <c r="F38" s="801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64"/>
      <c r="AC38" s="72"/>
      <c r="AD38" s="261"/>
      <c r="AE38" s="261"/>
      <c r="AF38" s="261"/>
      <c r="AG38" s="261"/>
    </row>
    <row r="39" spans="1:33" s="22" customFormat="1" ht="18" customHeight="1">
      <c r="A39" s="72"/>
      <c r="B39" s="72"/>
      <c r="C39" s="335"/>
      <c r="D39" s="72"/>
      <c r="E39" s="72"/>
      <c r="F39" s="801"/>
      <c r="G39" s="72"/>
      <c r="H39" s="72"/>
      <c r="I39" s="72"/>
      <c r="J39" s="72"/>
      <c r="K39" s="72"/>
      <c r="L39" s="339" t="s">
        <v>402</v>
      </c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64"/>
      <c r="AC39" s="72"/>
      <c r="AD39" s="261"/>
      <c r="AE39" s="261"/>
      <c r="AF39" s="261"/>
      <c r="AG39" s="261"/>
    </row>
    <row r="40" spans="1:33" s="22" customFormat="1" ht="18" customHeight="1">
      <c r="A40" s="72"/>
      <c r="B40" s="72"/>
      <c r="C40" s="335"/>
      <c r="D40" s="72"/>
      <c r="E40" s="72"/>
      <c r="F40" s="805" t="s">
        <v>542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64"/>
      <c r="AC40" s="72"/>
      <c r="AD40" s="261"/>
      <c r="AE40" s="261"/>
      <c r="AF40" s="261"/>
      <c r="AG40" s="261"/>
    </row>
    <row r="41" spans="1:33" s="22" customFormat="1" ht="18" customHeight="1">
      <c r="A41" s="72"/>
      <c r="B41" s="72"/>
      <c r="C41" s="335"/>
      <c r="D41" s="72"/>
      <c r="E41" s="72"/>
      <c r="F41" s="806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64"/>
      <c r="AC41" s="72"/>
      <c r="AD41" s="261"/>
      <c r="AE41" s="261"/>
      <c r="AF41" s="261"/>
      <c r="AG41" s="261"/>
    </row>
    <row r="42" spans="1:33" s="22" customFormat="1" ht="18" customHeight="1">
      <c r="A42" s="72"/>
      <c r="B42" s="72"/>
      <c r="C42" s="335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64"/>
      <c r="AC42" s="72"/>
      <c r="AD42" s="261"/>
      <c r="AE42" s="261"/>
      <c r="AF42" s="261"/>
      <c r="AG42" s="261"/>
    </row>
    <row r="43" spans="1:33" s="22" customFormat="1" ht="18" customHeight="1">
      <c r="A43" s="72"/>
      <c r="B43" s="72"/>
      <c r="C43" s="335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Q43" s="112"/>
      <c r="R43" s="112"/>
      <c r="S43" s="72"/>
      <c r="T43" s="72"/>
      <c r="U43" s="72"/>
      <c r="V43" s="72"/>
      <c r="W43" s="72"/>
      <c r="X43" s="72"/>
      <c r="Y43" s="72"/>
      <c r="Z43" s="72"/>
      <c r="AA43" s="72"/>
      <c r="AB43" s="64"/>
      <c r="AC43" s="72"/>
      <c r="AD43" s="261"/>
      <c r="AE43" s="261"/>
      <c r="AF43" s="261"/>
      <c r="AG43" s="261"/>
    </row>
    <row r="44" spans="1:33" s="22" customFormat="1" ht="18" customHeight="1">
      <c r="A44" s="72"/>
      <c r="B44" s="72"/>
      <c r="C44" s="335"/>
      <c r="D44" s="72"/>
      <c r="E44" s="72"/>
      <c r="F44" s="72"/>
      <c r="G44" s="72"/>
      <c r="H44" s="72"/>
      <c r="I44" s="72"/>
      <c r="J44" s="72"/>
      <c r="K44" s="72"/>
      <c r="L44" s="826" t="s">
        <v>543</v>
      </c>
      <c r="M44" s="826"/>
      <c r="N44" s="579">
        <f>'朝顔'!$L$22</f>
        <v>500</v>
      </c>
      <c r="O44" s="579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64"/>
      <c r="AC44" s="72"/>
      <c r="AD44" s="261"/>
      <c r="AE44" s="261"/>
      <c r="AF44" s="261"/>
      <c r="AG44" s="261"/>
    </row>
    <row r="45" spans="1:33" s="22" customFormat="1" ht="18" customHeight="1">
      <c r="A45" s="72"/>
      <c r="B45" s="72"/>
      <c r="C45" s="335"/>
      <c r="D45" s="72"/>
      <c r="E45" s="72"/>
      <c r="F45" s="72"/>
      <c r="G45" s="72"/>
      <c r="H45" s="72"/>
      <c r="I45" s="72"/>
      <c r="J45" s="72"/>
      <c r="K45" s="826" t="s">
        <v>544</v>
      </c>
      <c r="L45" s="519"/>
      <c r="M45" s="507">
        <f>'朝顔'!$K$24</f>
        <v>750</v>
      </c>
      <c r="N45" s="682"/>
      <c r="O45" s="68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64"/>
      <c r="AC45" s="72"/>
      <c r="AD45" s="261"/>
      <c r="AE45" s="261"/>
      <c r="AF45" s="261"/>
      <c r="AG45" s="261"/>
    </row>
    <row r="46" spans="1:33" s="22" customFormat="1" ht="18" customHeight="1">
      <c r="A46" s="72"/>
      <c r="B46" s="72"/>
      <c r="C46" s="335"/>
      <c r="D46" s="72"/>
      <c r="E46" s="72"/>
      <c r="F46" s="72"/>
      <c r="G46" s="72"/>
      <c r="H46" s="72"/>
      <c r="I46" s="72"/>
      <c r="J46" s="72"/>
      <c r="K46" s="72"/>
      <c r="L46" s="72"/>
      <c r="M46" s="64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64"/>
      <c r="AC46" s="72"/>
      <c r="AD46" s="261"/>
      <c r="AE46" s="261"/>
      <c r="AF46" s="261"/>
      <c r="AG46" s="261"/>
    </row>
    <row r="47" spans="1:33" s="22" customFormat="1" ht="18" customHeight="1">
      <c r="A47" s="72"/>
      <c r="B47" s="72"/>
      <c r="C47" s="335"/>
      <c r="D47" s="72"/>
      <c r="E47" s="72"/>
      <c r="F47" s="72"/>
      <c r="G47" s="72"/>
      <c r="H47" s="72"/>
      <c r="I47" s="72"/>
      <c r="J47" s="72"/>
      <c r="K47" s="72"/>
      <c r="L47" s="72"/>
      <c r="M47" s="64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64"/>
      <c r="AC47" s="72"/>
      <c r="AD47" s="261"/>
      <c r="AE47" s="261"/>
      <c r="AF47" s="261"/>
      <c r="AG47" s="261"/>
    </row>
    <row r="48" spans="1:33" s="22" customFormat="1" ht="18" customHeight="1">
      <c r="A48" s="72"/>
      <c r="B48" s="72"/>
      <c r="C48" s="72" t="s">
        <v>164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64"/>
      <c r="S48" s="64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261"/>
      <c r="AE48" s="261"/>
      <c r="AF48" s="261"/>
      <c r="AG48" s="261"/>
    </row>
    <row r="49" spans="1:33" s="22" customFormat="1" ht="18" customHeight="1">
      <c r="A49" s="72"/>
      <c r="B49" s="72"/>
      <c r="C49" s="335"/>
      <c r="D49" s="36" t="s">
        <v>163</v>
      </c>
      <c r="E49" s="36"/>
      <c r="F49" s="36"/>
      <c r="G49" s="36"/>
      <c r="H49" s="36"/>
      <c r="I49" s="36"/>
      <c r="J49" s="586">
        <f>$U$28</f>
        <v>1000</v>
      </c>
      <c r="K49" s="689"/>
      <c r="L49" s="689"/>
      <c r="M49" s="36" t="s">
        <v>389</v>
      </c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261"/>
      <c r="AE49" s="261"/>
      <c r="AF49" s="261"/>
      <c r="AG49" s="261"/>
    </row>
    <row r="50" spans="1:33" ht="18" customHeight="1">
      <c r="A50" s="36"/>
      <c r="B50" s="36"/>
      <c r="C50" s="82"/>
      <c r="D50" s="36"/>
      <c r="E50" s="36"/>
      <c r="F50" s="36"/>
      <c r="G50" s="36"/>
      <c r="H50" s="36"/>
      <c r="I50" s="36"/>
      <c r="J50" s="36"/>
      <c r="K50" s="186"/>
      <c r="L50" s="186"/>
      <c r="M50" s="186"/>
      <c r="N50" s="186"/>
      <c r="O50" s="186"/>
      <c r="P50" s="36"/>
      <c r="Q50" s="28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79"/>
      <c r="AE50" s="79"/>
      <c r="AF50" s="80"/>
      <c r="AG50" s="80"/>
    </row>
    <row r="51" spans="1:33" s="22" customFormat="1" ht="18" customHeight="1">
      <c r="A51" s="72"/>
      <c r="B51" s="72"/>
      <c r="C51" s="335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64"/>
      <c r="Z51" s="64"/>
      <c r="AA51" s="64"/>
      <c r="AB51" s="72"/>
      <c r="AC51" s="72"/>
      <c r="AD51" s="261"/>
      <c r="AE51" s="261"/>
      <c r="AF51" s="261"/>
      <c r="AG51" s="261"/>
    </row>
    <row r="52" spans="1:33" s="22" customFormat="1" ht="18" customHeight="1">
      <c r="A52" s="72"/>
      <c r="B52" s="72"/>
      <c r="C52" s="802" t="s">
        <v>33</v>
      </c>
      <c r="D52" s="531" t="s">
        <v>111</v>
      </c>
      <c r="E52" s="544">
        <f>'朝顔'!$V$89</f>
        <v>37319</v>
      </c>
      <c r="F52" s="544"/>
      <c r="G52" s="540"/>
      <c r="H52" s="802" t="s">
        <v>403</v>
      </c>
      <c r="I52" s="803">
        <f>$U$28/1000</f>
        <v>1</v>
      </c>
      <c r="J52" s="803"/>
      <c r="K52" s="802" t="s">
        <v>404</v>
      </c>
      <c r="L52" s="544">
        <f>$E$52*$I$52/$I$53</f>
        <v>933</v>
      </c>
      <c r="M52" s="544"/>
      <c r="N52" s="812" t="s">
        <v>92</v>
      </c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64"/>
      <c r="AA52" s="64"/>
      <c r="AB52" s="64"/>
      <c r="AC52" s="72"/>
      <c r="AD52" s="72"/>
      <c r="AE52" s="261"/>
      <c r="AF52" s="261"/>
      <c r="AG52" s="261"/>
    </row>
    <row r="53" spans="1:33" s="22" customFormat="1" ht="18" customHeight="1">
      <c r="A53" s="72"/>
      <c r="B53" s="72"/>
      <c r="C53" s="807"/>
      <c r="D53" s="531"/>
      <c r="E53" s="544"/>
      <c r="F53" s="544"/>
      <c r="G53" s="540"/>
      <c r="H53" s="802"/>
      <c r="I53" s="804">
        <f>'朝顔'!$J$80</f>
        <v>40</v>
      </c>
      <c r="J53" s="804"/>
      <c r="K53" s="802"/>
      <c r="L53" s="544"/>
      <c r="M53" s="544"/>
      <c r="N53" s="81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261"/>
      <c r="AF53" s="261"/>
      <c r="AG53" s="261"/>
    </row>
    <row r="54" spans="1:33" s="22" customFormat="1" ht="18" customHeight="1">
      <c r="A54" s="72"/>
      <c r="B54" s="72"/>
      <c r="C54" s="343"/>
      <c r="D54" s="338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261"/>
      <c r="AE54" s="261"/>
      <c r="AF54" s="261"/>
      <c r="AG54" s="261"/>
    </row>
    <row r="55" spans="1:33" s="22" customFormat="1" ht="18" customHeight="1">
      <c r="A55" s="72"/>
      <c r="B55" s="72"/>
      <c r="C55" s="802" t="s">
        <v>166</v>
      </c>
      <c r="D55" s="531" t="s">
        <v>111</v>
      </c>
      <c r="E55" s="802" t="s">
        <v>405</v>
      </c>
      <c r="F55" s="531"/>
      <c r="G55" s="525">
        <f>$V$32</f>
        <v>1133</v>
      </c>
      <c r="H55" s="803"/>
      <c r="I55" s="802" t="s">
        <v>404</v>
      </c>
      <c r="J55" s="823">
        <f>ATAN($G$55/$G$56)</f>
        <v>1.19273</v>
      </c>
      <c r="K55" s="823"/>
      <c r="L55" s="823"/>
      <c r="M55" s="812" t="s">
        <v>406</v>
      </c>
      <c r="N55" s="81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64"/>
      <c r="AA55" s="72"/>
      <c r="AB55" s="261"/>
      <c r="AC55" s="261"/>
      <c r="AD55" s="261"/>
      <c r="AE55" s="261"/>
      <c r="AF55" s="261"/>
      <c r="AG55" s="261"/>
    </row>
    <row r="56" spans="1:33" s="22" customFormat="1" ht="18" customHeight="1">
      <c r="A56" s="72"/>
      <c r="B56" s="72"/>
      <c r="C56" s="807"/>
      <c r="D56" s="531"/>
      <c r="E56" s="531"/>
      <c r="F56" s="531"/>
      <c r="G56" s="674">
        <f>$N$30</f>
        <v>450</v>
      </c>
      <c r="H56" s="804"/>
      <c r="I56" s="802"/>
      <c r="J56" s="823"/>
      <c r="K56" s="823"/>
      <c r="L56" s="823"/>
      <c r="M56" s="812"/>
      <c r="N56" s="81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261"/>
      <c r="AC56" s="261"/>
      <c r="AD56" s="261"/>
      <c r="AE56" s="261"/>
      <c r="AF56" s="261"/>
      <c r="AG56" s="261"/>
    </row>
    <row r="57" spans="1:33" s="22" customFormat="1" ht="18" customHeight="1">
      <c r="A57" s="72"/>
      <c r="B57" s="72"/>
      <c r="C57" s="206"/>
      <c r="D57" s="206"/>
      <c r="E57" s="173"/>
      <c r="F57" s="173"/>
      <c r="G57" s="37"/>
      <c r="H57" s="344"/>
      <c r="I57" s="340"/>
      <c r="J57" s="345"/>
      <c r="K57" s="345"/>
      <c r="L57" s="345"/>
      <c r="M57" s="342"/>
      <c r="N57" s="34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261"/>
      <c r="AC57" s="261"/>
      <c r="AD57" s="261"/>
      <c r="AE57" s="261"/>
      <c r="AF57" s="261"/>
      <c r="AG57" s="261"/>
    </row>
    <row r="58" spans="1:33" s="22" customFormat="1" ht="18" customHeight="1">
      <c r="A58" s="72"/>
      <c r="B58" s="72"/>
      <c r="C58" s="173" t="s">
        <v>545</v>
      </c>
      <c r="D58" s="173" t="s">
        <v>111</v>
      </c>
      <c r="E58" s="234" t="s">
        <v>407</v>
      </c>
      <c r="F58" s="173"/>
      <c r="G58" s="37"/>
      <c r="H58" s="72"/>
      <c r="I58" s="726">
        <f>'朝顔'!$T$65</f>
        <v>334</v>
      </c>
      <c r="J58" s="816"/>
      <c r="K58" s="345" t="s">
        <v>403</v>
      </c>
      <c r="L58" s="520">
        <f>$U$28/1000</f>
        <v>1</v>
      </c>
      <c r="M58" s="824"/>
      <c r="N58" s="340" t="s">
        <v>404</v>
      </c>
      <c r="O58" s="726">
        <f>$I$58*$L$58</f>
        <v>334</v>
      </c>
      <c r="P58" s="816"/>
      <c r="Q58" s="342" t="s">
        <v>408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261"/>
      <c r="AC58" s="261"/>
      <c r="AD58" s="261"/>
      <c r="AE58" s="261"/>
      <c r="AF58" s="261"/>
      <c r="AG58" s="261"/>
    </row>
    <row r="59" spans="1:33" s="22" customFormat="1" ht="18" customHeight="1">
      <c r="A59" s="72"/>
      <c r="B59" s="72"/>
      <c r="C59" s="173" t="s">
        <v>517</v>
      </c>
      <c r="D59" s="173" t="s">
        <v>111</v>
      </c>
      <c r="E59" s="234" t="s">
        <v>409</v>
      </c>
      <c r="F59" s="173"/>
      <c r="G59" s="37"/>
      <c r="H59" s="344"/>
      <c r="I59" s="726">
        <f>$O$58</f>
        <v>334</v>
      </c>
      <c r="J59" s="816"/>
      <c r="K59" s="345" t="s">
        <v>403</v>
      </c>
      <c r="L59" s="773">
        <f>$F$30/1000</f>
        <v>2.433</v>
      </c>
      <c r="M59" s="817"/>
      <c r="N59" s="340" t="s">
        <v>404</v>
      </c>
      <c r="O59" s="726">
        <f>$I$59*$L$59</f>
        <v>813</v>
      </c>
      <c r="P59" s="816"/>
      <c r="Q59" s="342" t="s">
        <v>92</v>
      </c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261"/>
      <c r="AC59" s="261"/>
      <c r="AD59" s="261"/>
      <c r="AE59" s="261"/>
      <c r="AF59" s="261"/>
      <c r="AG59" s="261"/>
    </row>
    <row r="60" spans="1:33" s="22" customFormat="1" ht="18" customHeight="1">
      <c r="A60" s="72"/>
      <c r="B60" s="72"/>
      <c r="C60" s="206"/>
      <c r="D60" s="206"/>
      <c r="E60" s="234"/>
      <c r="F60" s="173"/>
      <c r="G60" s="37"/>
      <c r="H60" s="344"/>
      <c r="I60" s="233"/>
      <c r="J60" s="346"/>
      <c r="K60" s="345"/>
      <c r="L60" s="311"/>
      <c r="M60" s="347"/>
      <c r="N60" s="340"/>
      <c r="O60" s="233"/>
      <c r="P60" s="346"/>
      <c r="Q60" s="34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261"/>
      <c r="AC60" s="261"/>
      <c r="AD60" s="261"/>
      <c r="AE60" s="261"/>
      <c r="AF60" s="261"/>
      <c r="AG60" s="261"/>
    </row>
    <row r="61" spans="1:33" s="22" customFormat="1" ht="18" customHeight="1">
      <c r="A61" s="72"/>
      <c r="B61" s="72"/>
      <c r="C61" s="531" t="s">
        <v>546</v>
      </c>
      <c r="D61" s="531" t="s">
        <v>111</v>
      </c>
      <c r="E61" s="531" t="s">
        <v>410</v>
      </c>
      <c r="F61" s="531"/>
      <c r="G61" s="531"/>
      <c r="H61" s="531"/>
      <c r="I61" s="814">
        <f>$F$37/1000</f>
        <v>1.217</v>
      </c>
      <c r="J61" s="814"/>
      <c r="K61" s="802" t="s">
        <v>411</v>
      </c>
      <c r="L61" s="504">
        <f>$F$30/1000</f>
        <v>2.433</v>
      </c>
      <c r="M61" s="504"/>
      <c r="N61" s="802" t="s">
        <v>404</v>
      </c>
      <c r="O61" s="773">
        <f>$I$61+$L$61/2</f>
        <v>2.434</v>
      </c>
      <c r="P61" s="773"/>
      <c r="Q61" s="812" t="s">
        <v>412</v>
      </c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261"/>
      <c r="AC61" s="261"/>
      <c r="AD61" s="261"/>
      <c r="AE61" s="261"/>
      <c r="AF61" s="261"/>
      <c r="AG61" s="261"/>
    </row>
    <row r="62" spans="1:33" s="22" customFormat="1" ht="18" customHeight="1">
      <c r="A62" s="72"/>
      <c r="B62" s="72"/>
      <c r="C62" s="531"/>
      <c r="D62" s="531"/>
      <c r="E62" s="531"/>
      <c r="F62" s="531"/>
      <c r="G62" s="531"/>
      <c r="H62" s="531"/>
      <c r="I62" s="814"/>
      <c r="J62" s="814"/>
      <c r="K62" s="802"/>
      <c r="L62" s="815">
        <v>2</v>
      </c>
      <c r="M62" s="815"/>
      <c r="N62" s="802"/>
      <c r="O62" s="773"/>
      <c r="P62" s="773"/>
      <c r="Q62" s="81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261"/>
      <c r="AC62" s="261"/>
      <c r="AD62" s="261"/>
      <c r="AE62" s="261"/>
      <c r="AF62" s="261"/>
      <c r="AG62" s="261"/>
    </row>
    <row r="63" spans="1:33" s="22" customFormat="1" ht="18" customHeight="1">
      <c r="A63" s="72"/>
      <c r="B63" s="72"/>
      <c r="C63" s="173"/>
      <c r="D63" s="173"/>
      <c r="E63" s="173"/>
      <c r="F63" s="173"/>
      <c r="G63" s="37"/>
      <c r="H63" s="344"/>
      <c r="I63" s="340"/>
      <c r="J63" s="345"/>
      <c r="K63" s="345"/>
      <c r="L63" s="345"/>
      <c r="M63" s="342"/>
      <c r="N63" s="34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261"/>
      <c r="AC63" s="261"/>
      <c r="AD63" s="261"/>
      <c r="AE63" s="261"/>
      <c r="AF63" s="261"/>
      <c r="AG63" s="261"/>
    </row>
    <row r="64" spans="1:33" s="22" customFormat="1" ht="18" customHeight="1">
      <c r="A64" s="72"/>
      <c r="B64" s="72"/>
      <c r="C64" s="531" t="s">
        <v>532</v>
      </c>
      <c r="D64" s="531" t="s">
        <v>111</v>
      </c>
      <c r="E64" s="516" t="s">
        <v>548</v>
      </c>
      <c r="F64" s="516"/>
      <c r="G64" s="516"/>
      <c r="H64" s="516"/>
      <c r="I64" s="516"/>
      <c r="J64" s="516"/>
      <c r="K64" s="516"/>
      <c r="L64" s="516"/>
      <c r="M64" s="64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72"/>
      <c r="AA64" s="72"/>
      <c r="AB64" s="261"/>
      <c r="AC64" s="261"/>
      <c r="AD64" s="261"/>
      <c r="AE64" s="261"/>
      <c r="AF64" s="261"/>
      <c r="AG64" s="261"/>
    </row>
    <row r="65" spans="1:33" s="22" customFormat="1" ht="18" customHeight="1">
      <c r="A65" s="72"/>
      <c r="B65" s="72"/>
      <c r="C65" s="531"/>
      <c r="D65" s="531"/>
      <c r="E65" s="813" t="s">
        <v>549</v>
      </c>
      <c r="F65" s="813"/>
      <c r="G65" s="813"/>
      <c r="H65" s="813"/>
      <c r="I65" s="813"/>
      <c r="J65" s="813"/>
      <c r="K65" s="813"/>
      <c r="L65" s="813"/>
      <c r="M65" s="675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72"/>
      <c r="AA65" s="72"/>
      <c r="AB65" s="261"/>
      <c r="AC65" s="261"/>
      <c r="AD65" s="261"/>
      <c r="AE65" s="261"/>
      <c r="AF65" s="261"/>
      <c r="AG65" s="261"/>
    </row>
    <row r="66" spans="1:33" s="22" customFormat="1" ht="18" customHeight="1">
      <c r="A66" s="72"/>
      <c r="B66" s="72"/>
      <c r="C66" s="173"/>
      <c r="D66" s="173"/>
      <c r="E66" s="173"/>
      <c r="F66" s="173"/>
      <c r="G66" s="37"/>
      <c r="H66" s="344"/>
      <c r="I66" s="340"/>
      <c r="J66" s="345"/>
      <c r="K66" s="345"/>
      <c r="L66" s="345"/>
      <c r="M66" s="342"/>
      <c r="N66" s="34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261"/>
      <c r="AC66" s="261"/>
      <c r="AD66" s="261"/>
      <c r="AE66" s="261"/>
      <c r="AF66" s="261"/>
      <c r="AG66" s="261"/>
    </row>
    <row r="67" spans="1:33" s="22" customFormat="1" ht="18" customHeight="1">
      <c r="A67" s="72"/>
      <c r="B67" s="72"/>
      <c r="C67" s="173"/>
      <c r="D67" s="802" t="s">
        <v>404</v>
      </c>
      <c r="E67" s="350"/>
      <c r="F67" s="821">
        <f>$O$59</f>
        <v>813</v>
      </c>
      <c r="G67" s="821"/>
      <c r="H67" s="351" t="s">
        <v>403</v>
      </c>
      <c r="I67" s="822">
        <f>$O$61</f>
        <v>2.434</v>
      </c>
      <c r="J67" s="822"/>
      <c r="K67" s="351" t="s">
        <v>411</v>
      </c>
      <c r="L67" s="525">
        <f>$L$52</f>
        <v>933</v>
      </c>
      <c r="M67" s="525"/>
      <c r="N67" s="351" t="s">
        <v>403</v>
      </c>
      <c r="O67" s="810">
        <f>$M$45/1000</f>
        <v>0.75</v>
      </c>
      <c r="P67" s="810"/>
      <c r="Q67" s="350"/>
      <c r="R67" s="261"/>
      <c r="S67" s="72"/>
      <c r="T67" s="72"/>
      <c r="U67" s="72"/>
      <c r="V67" s="72"/>
      <c r="W67" s="72"/>
      <c r="X67" s="72"/>
      <c r="Y67" s="72"/>
      <c r="Z67" s="72"/>
      <c r="AA67" s="72"/>
      <c r="AB67" s="261"/>
      <c r="AC67" s="261"/>
      <c r="AD67" s="261"/>
      <c r="AE67" s="261"/>
      <c r="AF67" s="261"/>
      <c r="AG67" s="261"/>
    </row>
    <row r="68" spans="1:33" s="22" customFormat="1" ht="18" customHeight="1">
      <c r="A68" s="72"/>
      <c r="B68" s="72"/>
      <c r="C68" s="173"/>
      <c r="D68" s="802"/>
      <c r="E68" s="818">
        <f>COS($J$55)</f>
        <v>0.36912</v>
      </c>
      <c r="F68" s="818"/>
      <c r="G68" s="818"/>
      <c r="H68" s="349" t="s">
        <v>403</v>
      </c>
      <c r="I68" s="819">
        <f>$F$37/1000</f>
        <v>1.217</v>
      </c>
      <c r="J68" s="819"/>
      <c r="K68" s="349" t="s">
        <v>411</v>
      </c>
      <c r="L68" s="820">
        <f>SIN($J$55)</f>
        <v>0.92938</v>
      </c>
      <c r="M68" s="820"/>
      <c r="N68" s="820"/>
      <c r="O68" s="349" t="s">
        <v>403</v>
      </c>
      <c r="P68" s="811">
        <f>$N$44/1000</f>
        <v>0.5</v>
      </c>
      <c r="Q68" s="811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261"/>
      <c r="AC68" s="261"/>
      <c r="AD68" s="261"/>
      <c r="AE68" s="261"/>
      <c r="AF68" s="261"/>
      <c r="AG68" s="261"/>
    </row>
    <row r="69" spans="1:33" s="22" customFormat="1" ht="18" customHeight="1">
      <c r="A69" s="72"/>
      <c r="B69" s="72"/>
      <c r="C69" s="173"/>
      <c r="D69" s="173"/>
      <c r="E69" s="173"/>
      <c r="F69" s="173"/>
      <c r="G69" s="37"/>
      <c r="H69" s="344"/>
      <c r="I69" s="340"/>
      <c r="J69" s="345"/>
      <c r="K69" s="345"/>
      <c r="L69" s="345"/>
      <c r="M69" s="342"/>
      <c r="N69" s="34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261"/>
      <c r="AC69" s="261"/>
      <c r="AD69" s="261"/>
      <c r="AE69" s="261"/>
      <c r="AF69" s="261"/>
      <c r="AG69" s="261"/>
    </row>
    <row r="70" spans="1:33" s="22" customFormat="1" ht="18" customHeight="1">
      <c r="A70" s="72"/>
      <c r="B70" s="72"/>
      <c r="C70" s="173"/>
      <c r="D70" s="173" t="s">
        <v>404</v>
      </c>
      <c r="E70" s="527">
        <f>($F$67*$I$67+$L$67*$O$67)/($E$68*$I$68+$L$68*$P$68)</f>
        <v>2931</v>
      </c>
      <c r="F70" s="527"/>
      <c r="G70" s="352" t="s">
        <v>92</v>
      </c>
      <c r="H70" s="42" t="str">
        <f>IF($E$70&lt;=$R$70,"&lt;","&gt;")</f>
        <v>&lt;</v>
      </c>
      <c r="I70" s="802" t="s">
        <v>547</v>
      </c>
      <c r="J70" s="531"/>
      <c r="K70" s="531"/>
      <c r="L70" s="808">
        <v>1.3</v>
      </c>
      <c r="M70" s="809"/>
      <c r="N70" s="340" t="s">
        <v>403</v>
      </c>
      <c r="O70" s="584">
        <f>$M$7</f>
        <v>4250</v>
      </c>
      <c r="P70" s="584"/>
      <c r="Q70" s="340" t="s">
        <v>111</v>
      </c>
      <c r="R70" s="584">
        <f>$L$70*$O$70</f>
        <v>5525</v>
      </c>
      <c r="S70" s="584"/>
      <c r="T70" s="72" t="s">
        <v>92</v>
      </c>
      <c r="U70" s="684">
        <f>IF($E$70&lt;=$R$70,"","NG")</f>
      </c>
      <c r="V70" s="685"/>
      <c r="W70" s="685"/>
      <c r="X70" s="72"/>
      <c r="Y70" s="72"/>
      <c r="Z70" s="72"/>
      <c r="AA70" s="72"/>
      <c r="AB70" s="261"/>
      <c r="AC70" s="261"/>
      <c r="AD70" s="261"/>
      <c r="AE70" s="261"/>
      <c r="AF70" s="261"/>
      <c r="AG70" s="261"/>
    </row>
    <row r="71" spans="1:33" s="22" customFormat="1" ht="18" customHeight="1">
      <c r="A71" s="72"/>
      <c r="B71" s="72"/>
      <c r="C71" s="173"/>
      <c r="D71" s="173"/>
      <c r="E71" s="173"/>
      <c r="F71" s="173"/>
      <c r="G71" s="37"/>
      <c r="H71" s="344"/>
      <c r="I71" s="340"/>
      <c r="J71" s="345"/>
      <c r="K71" s="345"/>
      <c r="L71" s="345"/>
      <c r="M71" s="342"/>
      <c r="N71" s="342"/>
      <c r="O71" s="72"/>
      <c r="P71" s="72"/>
      <c r="Q71" s="340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261"/>
      <c r="AC71" s="261"/>
      <c r="AD71" s="261"/>
      <c r="AE71" s="261"/>
      <c r="AF71" s="261"/>
      <c r="AG71" s="261"/>
    </row>
    <row r="72" spans="1:33" ht="13.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80"/>
      <c r="AE72" s="80"/>
      <c r="AF72" s="80"/>
      <c r="AG72" s="80"/>
    </row>
    <row r="73" spans="1:33" ht="13.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80"/>
      <c r="AE73" s="80"/>
      <c r="AF73" s="80"/>
      <c r="AG73" s="80"/>
    </row>
    <row r="74" spans="1:33" ht="13.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80"/>
      <c r="AE74" s="80"/>
      <c r="AF74" s="80"/>
      <c r="AG74" s="80"/>
    </row>
    <row r="75" spans="1:33" ht="13.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80"/>
      <c r="AE75" s="80"/>
      <c r="AF75" s="80"/>
      <c r="AG75" s="80"/>
    </row>
    <row r="76" spans="1:33" ht="13.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80"/>
      <c r="AE76" s="80"/>
      <c r="AF76" s="80"/>
      <c r="AG76" s="80"/>
    </row>
    <row r="77" spans="1:33" ht="13.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80"/>
      <c r="AE77" s="80"/>
      <c r="AF77" s="80"/>
      <c r="AG77" s="80"/>
    </row>
    <row r="78" spans="1:33" ht="13.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80"/>
      <c r="AE78" s="80"/>
      <c r="AF78" s="80"/>
      <c r="AG78" s="80"/>
    </row>
    <row r="79" spans="1:33" ht="13.5">
      <c r="A79" s="236"/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17"/>
      <c r="AE79" s="17"/>
      <c r="AF79" s="17"/>
      <c r="AG79" s="17"/>
    </row>
    <row r="80" spans="1:33" ht="13.5">
      <c r="A80" s="236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17"/>
      <c r="AE80" s="17"/>
      <c r="AF80" s="17"/>
      <c r="AG80" s="17"/>
    </row>
    <row r="81" spans="1:33" ht="13.5">
      <c r="A81" s="219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17"/>
      <c r="AE81" s="17"/>
      <c r="AF81" s="17"/>
      <c r="AG81" s="17"/>
    </row>
    <row r="82" spans="1:33" ht="13.5">
      <c r="A82" s="219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17"/>
      <c r="AE82" s="17"/>
      <c r="AF82" s="17"/>
      <c r="AG82" s="17"/>
    </row>
    <row r="83" spans="1:33" ht="13.5">
      <c r="A83" s="219"/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17"/>
      <c r="AE83" s="17"/>
      <c r="AF83" s="17"/>
      <c r="AG83" s="17"/>
    </row>
    <row r="84" spans="1:33" ht="13.5">
      <c r="A84" s="219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17"/>
      <c r="AE84" s="17"/>
      <c r="AF84" s="17"/>
      <c r="AG84" s="17"/>
    </row>
    <row r="85" spans="1:33" ht="13.5">
      <c r="A85" s="219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17"/>
      <c r="AE85" s="17"/>
      <c r="AF85" s="17"/>
      <c r="AG85" s="17"/>
    </row>
    <row r="86" spans="1:33" ht="13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ht="13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</sheetData>
  <sheetProtection sheet="1" objects="1" scenarios="1"/>
  <mergeCells count="106">
    <mergeCell ref="AC4:AC5"/>
    <mergeCell ref="Y11:Y14"/>
    <mergeCell ref="U12:W13"/>
    <mergeCell ref="J13:L13"/>
    <mergeCell ref="K6:L6"/>
    <mergeCell ref="M6:O6"/>
    <mergeCell ref="K7:L7"/>
    <mergeCell ref="T21:U22"/>
    <mergeCell ref="V21:V22"/>
    <mergeCell ref="N21:O22"/>
    <mergeCell ref="Q21:Q22"/>
    <mergeCell ref="R21:S22"/>
    <mergeCell ref="W21:Z22"/>
    <mergeCell ref="J21:J22"/>
    <mergeCell ref="D18:E19"/>
    <mergeCell ref="V18:W19"/>
    <mergeCell ref="X18:X19"/>
    <mergeCell ref="P21:P22"/>
    <mergeCell ref="M21:M22"/>
    <mergeCell ref="N18:O19"/>
    <mergeCell ref="K21:L22"/>
    <mergeCell ref="H21:I21"/>
    <mergeCell ref="H22:I22"/>
    <mergeCell ref="D21:E22"/>
    <mergeCell ref="G14:H14"/>
    <mergeCell ref="H18:I19"/>
    <mergeCell ref="F18:G19"/>
    <mergeCell ref="F21:G22"/>
    <mergeCell ref="V16:X16"/>
    <mergeCell ref="P18:Q18"/>
    <mergeCell ref="P19:Q19"/>
    <mergeCell ref="R18:R19"/>
    <mergeCell ref="S18:T19"/>
    <mergeCell ref="U18:U19"/>
    <mergeCell ref="J18:J19"/>
    <mergeCell ref="M7:O7"/>
    <mergeCell ref="K18:M19"/>
    <mergeCell ref="H4:K4"/>
    <mergeCell ref="N4:O4"/>
    <mergeCell ref="K5:L5"/>
    <mergeCell ref="M5:O5"/>
    <mergeCell ref="M45:O45"/>
    <mergeCell ref="N44:O44"/>
    <mergeCell ref="L44:M44"/>
    <mergeCell ref="K45:L45"/>
    <mergeCell ref="U28:V28"/>
    <mergeCell ref="H52:H53"/>
    <mergeCell ref="I52:J52"/>
    <mergeCell ref="I53:J53"/>
    <mergeCell ref="K52:K53"/>
    <mergeCell ref="L52:M53"/>
    <mergeCell ref="N52:N53"/>
    <mergeCell ref="Q35:Q36"/>
    <mergeCell ref="V32:V36"/>
    <mergeCell ref="N30:P30"/>
    <mergeCell ref="O58:P58"/>
    <mergeCell ref="I55:I56"/>
    <mergeCell ref="J55:L56"/>
    <mergeCell ref="M55:N56"/>
    <mergeCell ref="I58:J58"/>
    <mergeCell ref="L58:M58"/>
    <mergeCell ref="L59:M59"/>
    <mergeCell ref="D67:D68"/>
    <mergeCell ref="E68:G68"/>
    <mergeCell ref="I68:J68"/>
    <mergeCell ref="L68:N68"/>
    <mergeCell ref="F67:G67"/>
    <mergeCell ref="I67:J67"/>
    <mergeCell ref="L67:M67"/>
    <mergeCell ref="C61:C62"/>
    <mergeCell ref="C64:C65"/>
    <mergeCell ref="O59:P59"/>
    <mergeCell ref="E61:H62"/>
    <mergeCell ref="E64:M64"/>
    <mergeCell ref="N61:N62"/>
    <mergeCell ref="O61:P62"/>
    <mergeCell ref="D61:D62"/>
    <mergeCell ref="D64:D65"/>
    <mergeCell ref="I59:J59"/>
    <mergeCell ref="Q61:Q62"/>
    <mergeCell ref="E65:M65"/>
    <mergeCell ref="I61:J62"/>
    <mergeCell ref="K61:K62"/>
    <mergeCell ref="L61:M61"/>
    <mergeCell ref="L62:M62"/>
    <mergeCell ref="O67:P67"/>
    <mergeCell ref="U70:W70"/>
    <mergeCell ref="P68:Q68"/>
    <mergeCell ref="R70:S70"/>
    <mergeCell ref="E70:F70"/>
    <mergeCell ref="I70:K70"/>
    <mergeCell ref="L70:M70"/>
    <mergeCell ref="O70:P70"/>
    <mergeCell ref="C52:C53"/>
    <mergeCell ref="C55:C56"/>
    <mergeCell ref="D52:D53"/>
    <mergeCell ref="D55:D56"/>
    <mergeCell ref="J49:L49"/>
    <mergeCell ref="E52:G53"/>
    <mergeCell ref="F30:F32"/>
    <mergeCell ref="E55:F56"/>
    <mergeCell ref="G55:H55"/>
    <mergeCell ref="G56:H56"/>
    <mergeCell ref="F37:F39"/>
    <mergeCell ref="F40:F41"/>
    <mergeCell ref="F33:F34"/>
  </mergeCells>
  <dataValidations count="1">
    <dataValidation type="list" allowBlank="1" showInputMessage="1" showErrorMessage="1" sqref="H4:K4">
      <formula1>$AC$6:$AC$7</formula1>
    </dataValidation>
  </dataValidations>
  <printOptions/>
  <pageMargins left="0.7874015748031497" right="0.2362204724409449" top="0.6299212598425197" bottom="0.3937007874015748" header="0" footer="0.11811023622047245"/>
  <pageSetup horizontalDpi="300" verticalDpi="300" orientation="portrait" paperSize="9" r:id="rId2"/>
  <headerFooter alignWithMargins="0">
    <oddFooter>&amp;L&amp;6&amp;F7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　富士ビルド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2004-10-11T19:22:33Z</cp:lastPrinted>
  <dcterms:created xsi:type="dcterms:W3CDTF">1999-02-19T09:09:23Z</dcterms:created>
  <dcterms:modified xsi:type="dcterms:W3CDTF">2004-10-13T05:43:41Z</dcterms:modified>
  <cp:category/>
  <cp:version/>
  <cp:contentType/>
  <cp:contentStatus/>
</cp:coreProperties>
</file>