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Sheet1" sheetId="1" r:id="rId1"/>
  </sheets>
  <definedNames>
    <definedName name="_xlnm.Print_Area" localSheetId="0">'Sheet1'!$B$2:$F$20</definedName>
  </definedNames>
  <calcPr fullCalcOnLoad="1"/>
</workbook>
</file>

<file path=xl/sharedStrings.xml><?xml version="1.0" encoding="utf-8"?>
<sst xmlns="http://schemas.openxmlformats.org/spreadsheetml/2006/main" count="49" uniqueCount="23">
  <si>
    <t>変換前</t>
  </si>
  <si>
    <t>変換後</t>
  </si>
  <si>
    <t>黄色のカーソルを変更する。</t>
  </si>
  <si>
    <t>数値</t>
  </si>
  <si>
    <t>単位</t>
  </si>
  <si>
    <t>cm</t>
  </si>
  <si>
    <t>m</t>
  </si>
  <si>
    <t>km</t>
  </si>
  <si>
    <t>寸</t>
  </si>
  <si>
    <t>尺</t>
  </si>
  <si>
    <t>間</t>
  </si>
  <si>
    <t>町（ちょう）</t>
  </si>
  <si>
    <t>間（けん）</t>
  </si>
  <si>
    <t>里（り）</t>
  </si>
  <si>
    <t>インチ</t>
  </si>
  <si>
    <t>フィート</t>
  </si>
  <si>
    <t>ヤード</t>
  </si>
  <si>
    <t>チェーン</t>
  </si>
  <si>
    <t>マイル</t>
  </si>
  <si>
    <t>海里</t>
  </si>
  <si>
    <t>町</t>
  </si>
  <si>
    <t>里</t>
  </si>
  <si>
    <t>距離・長さ単位換算表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</si>
</sst>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E+00"/>
    <numFmt numFmtId="193" formatCode="0.0000000E+00"/>
    <numFmt numFmtId="194" formatCode="0.00000000E+00"/>
    <numFmt numFmtId="195" formatCode="0.000000000E+00"/>
    <numFmt numFmtId="196" formatCode="0.00000E+00"/>
    <numFmt numFmtId="197" formatCode="0.0000E+00"/>
    <numFmt numFmtId="198" formatCode="0.000E+00"/>
    <numFmt numFmtId="199" formatCode="0.0E+00"/>
    <numFmt numFmtId="200" formatCode="0E+00"/>
    <numFmt numFmtId="201" formatCode="0.0000000000E+00"/>
    <numFmt numFmtId="202" formatCode="0.00000000000E+00"/>
    <numFmt numFmtId="203" formatCode="0.000000000000E+00"/>
    <numFmt numFmtId="204" formatCode="0.0000000000000E+00"/>
    <numFmt numFmtId="205" formatCode="0.00000000000000E+00"/>
    <numFmt numFmtId="206" formatCode="0.000000000000000E+00"/>
    <numFmt numFmtId="207" formatCode="0.0000000000000000E+00"/>
    <numFmt numFmtId="208" formatCode="0.0_ 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0.000000000_ "/>
    <numFmt numFmtId="217" formatCode="0.0000000000_ "/>
    <numFmt numFmtId="218" formatCode="0.00000000000_ "/>
    <numFmt numFmtId="219" formatCode="0.000000000000_ "/>
    <numFmt numFmtId="220" formatCode="0.0000000000000_ "/>
    <numFmt numFmtId="221" formatCode="0.00000000000000_ "/>
    <numFmt numFmtId="222" formatCode="0.000000000000000_ "/>
    <numFmt numFmtId="223" formatCode="0.0000000000000000_ "/>
    <numFmt numFmtId="224" formatCode="0.00000000000000000_ "/>
    <numFmt numFmtId="225" formatCode="0.000000000000000000_ "/>
    <numFmt numFmtId="226" formatCode="0.0000000000000000000_ "/>
    <numFmt numFmtId="227" formatCode="0.00000000000000000000_ "/>
    <numFmt numFmtId="228" formatCode="0.000000000000000000000_ "/>
    <numFmt numFmtId="229" formatCode="0.0000000000000000000000_ "/>
    <numFmt numFmtId="230" formatCode="0.00000000000000000000000_ "/>
    <numFmt numFmtId="231" formatCode="0.000000000000000000000000_ "/>
    <numFmt numFmtId="232" formatCode="0.0000000000000000000000000_ "/>
    <numFmt numFmtId="233" formatCode="0.00000000000000000000000000_ "/>
    <numFmt numFmtId="234" formatCode="0.000000000000000000000000000_ "/>
    <numFmt numFmtId="235" formatCode="0.0000000000000000000000000000_ "/>
  </numFmts>
  <fonts count="8">
    <font>
      <sz val="14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3" fontId="0" fillId="0" borderId="0" xfId="16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235" fontId="6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181" fontId="2" fillId="0" borderId="3" xfId="16" applyNumberFormat="1" applyFont="1" applyBorder="1" applyAlignment="1" applyProtection="1">
      <alignment horizontal="right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textRotation="255"/>
      <protection locked="0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9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37.5" customHeight="1"/>
  <cols>
    <col min="2" max="2" width="2.69921875" style="0" customWidth="1"/>
    <col min="3" max="3" width="11.3984375" style="0" customWidth="1"/>
    <col min="4" max="4" width="13.59765625" style="0" customWidth="1"/>
    <col min="5" max="5" width="30.19921875" style="0" customWidth="1"/>
    <col min="6" max="10" width="10.69921875" style="0" customWidth="1"/>
    <col min="11" max="11" width="5.296875" style="0" customWidth="1"/>
    <col min="12" max="12" width="4.69921875" style="0" customWidth="1"/>
    <col min="13" max="13" width="5.5" style="0" hidden="1" customWidth="1"/>
    <col min="14" max="14" width="8.3984375" style="9" hidden="1" customWidth="1"/>
    <col min="15" max="15" width="12.296875" style="0" hidden="1" customWidth="1"/>
    <col min="16" max="16" width="6.3984375" style="0" hidden="1" customWidth="1"/>
    <col min="17" max="17" width="7.09765625" style="0" hidden="1" customWidth="1"/>
    <col min="18" max="18" width="19.8984375" style="0" hidden="1" customWidth="1"/>
    <col min="19" max="19" width="23.796875" style="0" hidden="1" customWidth="1"/>
    <col min="20" max="20" width="18.09765625" style="0" hidden="1" customWidth="1"/>
    <col min="21" max="21" width="11" style="0" hidden="1" customWidth="1"/>
    <col min="22" max="22" width="10" style="0" hidden="1" customWidth="1"/>
    <col min="23" max="23" width="15.5" style="0" hidden="1" customWidth="1"/>
    <col min="24" max="24" width="27.5" style="0" hidden="1" customWidth="1"/>
    <col min="25" max="25" width="12.8984375" style="0" hidden="1" customWidth="1"/>
    <col min="26" max="28" width="8.796875" style="0" hidden="1" customWidth="1"/>
  </cols>
  <sheetData>
    <row r="1" ht="14.25" customHeight="1"/>
    <row r="2" ht="37.5" customHeight="1">
      <c r="C2" s="21" t="s">
        <v>22</v>
      </c>
    </row>
    <row r="3" spans="3:10" ht="19.5" customHeight="1">
      <c r="C3" s="28" t="s">
        <v>0</v>
      </c>
      <c r="D3" s="28"/>
      <c r="E3" s="23" t="s">
        <v>1</v>
      </c>
      <c r="F3" s="24"/>
      <c r="G3" s="19"/>
      <c r="H3" s="19"/>
      <c r="I3" s="19"/>
      <c r="J3" s="19"/>
    </row>
    <row r="4" spans="1:28" ht="19.5" customHeight="1">
      <c r="A4" s="27" t="s">
        <v>2</v>
      </c>
      <c r="C4" s="8" t="s">
        <v>3</v>
      </c>
      <c r="D4" s="8" t="s">
        <v>4</v>
      </c>
      <c r="E4" s="25"/>
      <c r="F4" s="26"/>
      <c r="G4" s="19"/>
      <c r="H4" s="19"/>
      <c r="I4" s="19"/>
      <c r="J4" s="19"/>
      <c r="K4" s="6"/>
      <c r="L4" s="6"/>
      <c r="N4" s="13"/>
      <c r="O4" s="16" t="s">
        <v>5</v>
      </c>
      <c r="P4" s="16" t="s">
        <v>6</v>
      </c>
      <c r="Q4" s="16" t="s">
        <v>7</v>
      </c>
      <c r="R4" s="16" t="s">
        <v>8</v>
      </c>
      <c r="S4" s="16" t="s">
        <v>9</v>
      </c>
      <c r="T4" s="16" t="s">
        <v>10</v>
      </c>
      <c r="U4" s="16" t="s">
        <v>20</v>
      </c>
      <c r="V4" s="16" t="s">
        <v>21</v>
      </c>
      <c r="W4" s="16" t="s">
        <v>14</v>
      </c>
      <c r="X4" s="16" t="s">
        <v>15</v>
      </c>
      <c r="Y4" s="16" t="s">
        <v>16</v>
      </c>
      <c r="Z4" s="16" t="s">
        <v>17</v>
      </c>
      <c r="AA4" s="16" t="s">
        <v>18</v>
      </c>
      <c r="AB4" s="16" t="s">
        <v>19</v>
      </c>
    </row>
    <row r="5" spans="1:28" ht="37.5" customHeight="1">
      <c r="A5" s="27"/>
      <c r="C5" s="32">
        <v>1</v>
      </c>
      <c r="D5" s="29" t="s">
        <v>21</v>
      </c>
      <c r="E5" s="22">
        <f>$C$5/M5</f>
        <v>392772.9772191673</v>
      </c>
      <c r="F5" s="15" t="s">
        <v>5</v>
      </c>
      <c r="G5" s="20"/>
      <c r="H5" s="20"/>
      <c r="I5" s="20"/>
      <c r="J5" s="20"/>
      <c r="K5" s="7"/>
      <c r="L5" s="7"/>
      <c r="M5">
        <f>VLOOKUP($D$5,$N$5:$AB$18,2,FALSE)</f>
        <v>2.5460000000000003E-06</v>
      </c>
      <c r="N5" s="16" t="s">
        <v>5</v>
      </c>
      <c r="O5" s="14">
        <v>1</v>
      </c>
      <c r="P5" s="14">
        <v>100</v>
      </c>
      <c r="Q5" s="14">
        <v>100000</v>
      </c>
      <c r="R5" s="14">
        <v>3.03</v>
      </c>
      <c r="S5" s="14">
        <v>30.3</v>
      </c>
      <c r="T5" s="14">
        <v>181.8</v>
      </c>
      <c r="U5" s="14">
        <f>U6*100</f>
        <v>10909</v>
      </c>
      <c r="V5" s="14">
        <f>V6*100</f>
        <v>392727</v>
      </c>
      <c r="W5" s="14">
        <v>2.54</v>
      </c>
      <c r="X5" s="14">
        <v>30.48</v>
      </c>
      <c r="Y5" s="14">
        <v>91.44</v>
      </c>
      <c r="Z5" s="14">
        <v>2012</v>
      </c>
      <c r="AA5" s="14">
        <f>AA6*100</f>
        <v>160930</v>
      </c>
      <c r="AB5" s="14">
        <f>AB6*100</f>
        <v>185200</v>
      </c>
    </row>
    <row r="6" spans="1:28" ht="37.5" customHeight="1">
      <c r="A6" s="27"/>
      <c r="C6" s="33"/>
      <c r="D6" s="30"/>
      <c r="E6" s="22">
        <f aca="true" t="shared" si="0" ref="E6:E18">$C$5/M6</f>
        <v>3927.729772191673</v>
      </c>
      <c r="F6" s="15" t="s">
        <v>6</v>
      </c>
      <c r="G6" s="20"/>
      <c r="H6" s="20"/>
      <c r="I6" s="20"/>
      <c r="J6" s="20"/>
      <c r="K6" s="7"/>
      <c r="L6" s="7"/>
      <c r="M6">
        <f>VLOOKUP($D$5,$N$5:$AB$18,3,FALSE)</f>
        <v>0.0002546</v>
      </c>
      <c r="N6" s="16" t="s">
        <v>6</v>
      </c>
      <c r="O6" s="14">
        <v>0.01</v>
      </c>
      <c r="P6" s="14">
        <v>1</v>
      </c>
      <c r="Q6" s="14">
        <v>1000</v>
      </c>
      <c r="R6" s="14">
        <v>0.0303</v>
      </c>
      <c r="S6" s="14">
        <v>0.303</v>
      </c>
      <c r="T6" s="14">
        <v>1.818</v>
      </c>
      <c r="U6" s="14">
        <v>109.09</v>
      </c>
      <c r="V6" s="14">
        <v>3927.27</v>
      </c>
      <c r="W6" s="14">
        <v>0.0254</v>
      </c>
      <c r="X6" s="14">
        <v>0.3048</v>
      </c>
      <c r="Y6" s="14">
        <v>0.9144</v>
      </c>
      <c r="Z6" s="14">
        <v>20.12</v>
      </c>
      <c r="AA6" s="14">
        <v>1609.3</v>
      </c>
      <c r="AB6" s="14">
        <v>1852</v>
      </c>
    </row>
    <row r="7" spans="1:28" ht="37.5" customHeight="1">
      <c r="A7" s="27"/>
      <c r="C7" s="33"/>
      <c r="D7" s="30"/>
      <c r="E7" s="22">
        <f t="shared" si="0"/>
        <v>3.9277297721916735</v>
      </c>
      <c r="F7" s="15" t="s">
        <v>7</v>
      </c>
      <c r="G7" s="20"/>
      <c r="H7" s="20"/>
      <c r="I7" s="20"/>
      <c r="J7" s="20"/>
      <c r="K7" s="7"/>
      <c r="L7" s="7"/>
      <c r="M7">
        <f>VLOOKUP($D$5,$N$5:$AB$18,4,FALSE)</f>
        <v>0.2546</v>
      </c>
      <c r="N7" s="16" t="s">
        <v>7</v>
      </c>
      <c r="O7" s="14">
        <v>1E-05</v>
      </c>
      <c r="P7" s="14">
        <v>0.001</v>
      </c>
      <c r="Q7" s="14">
        <v>1</v>
      </c>
      <c r="R7" s="14">
        <f>R6/1000</f>
        <v>3.03E-05</v>
      </c>
      <c r="S7" s="14">
        <f>S6/1000</f>
        <v>0.000303</v>
      </c>
      <c r="T7" s="14">
        <f>T6/1000</f>
        <v>0.001818</v>
      </c>
      <c r="U7" s="14">
        <v>0.10909</v>
      </c>
      <c r="V7" s="14">
        <v>3.927</v>
      </c>
      <c r="W7" s="14">
        <f aca="true" t="shared" si="1" ref="W7:AB7">W6/1000</f>
        <v>2.5399999999999997E-05</v>
      </c>
      <c r="X7" s="14">
        <f t="shared" si="1"/>
        <v>0.00030480000000000004</v>
      </c>
      <c r="Y7" s="14">
        <f t="shared" si="1"/>
        <v>0.0009144</v>
      </c>
      <c r="Z7" s="14">
        <f t="shared" si="1"/>
        <v>0.020120000000000002</v>
      </c>
      <c r="AA7" s="14">
        <f t="shared" si="1"/>
        <v>1.6093</v>
      </c>
      <c r="AB7" s="14">
        <f t="shared" si="1"/>
        <v>1.852</v>
      </c>
    </row>
    <row r="8" spans="1:28" ht="37.5" customHeight="1">
      <c r="A8" s="27"/>
      <c r="C8" s="33"/>
      <c r="D8" s="30"/>
      <c r="E8" s="22">
        <f t="shared" si="0"/>
        <v>129600.82944530844</v>
      </c>
      <c r="F8" s="15" t="s">
        <v>8</v>
      </c>
      <c r="G8" s="20"/>
      <c r="H8" s="20"/>
      <c r="I8" s="20"/>
      <c r="J8" s="20"/>
      <c r="K8" s="7"/>
      <c r="L8" s="7"/>
      <c r="M8">
        <f>VLOOKUP($D$5,$N$5:$AB$18,5,FALSE)</f>
        <v>7.716E-06</v>
      </c>
      <c r="N8" s="16" t="s">
        <v>8</v>
      </c>
      <c r="O8" s="14">
        <v>0.33</v>
      </c>
      <c r="P8" s="14">
        <v>33</v>
      </c>
      <c r="Q8" s="14">
        <v>33000</v>
      </c>
      <c r="R8" s="14">
        <v>1</v>
      </c>
      <c r="S8" s="14">
        <v>10</v>
      </c>
      <c r="T8" s="14">
        <v>60</v>
      </c>
      <c r="U8" s="14">
        <v>3600</v>
      </c>
      <c r="V8" s="14">
        <v>129600</v>
      </c>
      <c r="W8" s="14">
        <v>0.8382</v>
      </c>
      <c r="X8" s="14">
        <v>10.058</v>
      </c>
      <c r="Y8" s="14">
        <v>30.175</v>
      </c>
      <c r="Z8" s="14">
        <f>Z7*33000</f>
        <v>663.96</v>
      </c>
      <c r="AA8" s="14">
        <f>AA7*33000</f>
        <v>53106.9</v>
      </c>
      <c r="AB8" s="14">
        <f>AB7*33000</f>
        <v>61116</v>
      </c>
    </row>
    <row r="9" spans="1:28" ht="37.5" customHeight="1">
      <c r="A9" s="27"/>
      <c r="C9" s="33"/>
      <c r="D9" s="30"/>
      <c r="E9" s="22">
        <f t="shared" si="0"/>
        <v>12960.06614817762</v>
      </c>
      <c r="F9" s="15" t="s">
        <v>9</v>
      </c>
      <c r="G9" s="20"/>
      <c r="H9" s="20"/>
      <c r="I9" s="20"/>
      <c r="J9" s="20"/>
      <c r="K9" s="7"/>
      <c r="L9" s="7"/>
      <c r="M9">
        <f>VLOOKUP($D$5,$N$5:$AB$18,6,FALSE)</f>
        <v>7.71601E-05</v>
      </c>
      <c r="N9" s="16" t="s">
        <v>9</v>
      </c>
      <c r="O9" s="14">
        <v>0.033</v>
      </c>
      <c r="P9" s="14">
        <v>3.3</v>
      </c>
      <c r="Q9" s="14">
        <f>P9*1000</f>
        <v>3300</v>
      </c>
      <c r="R9" s="14">
        <v>0.1</v>
      </c>
      <c r="S9" s="14">
        <v>1</v>
      </c>
      <c r="T9" s="14">
        <v>6</v>
      </c>
      <c r="U9" s="14">
        <v>360</v>
      </c>
      <c r="V9" s="14">
        <v>12960</v>
      </c>
      <c r="W9" s="14">
        <f aca="true" t="shared" si="2" ref="W9:AB9">W8*0.1</f>
        <v>0.08382</v>
      </c>
      <c r="X9" s="14">
        <f t="shared" si="2"/>
        <v>1.0058</v>
      </c>
      <c r="Y9" s="14">
        <f t="shared" si="2"/>
        <v>3.0175</v>
      </c>
      <c r="Z9" s="14">
        <f t="shared" si="2"/>
        <v>66.396</v>
      </c>
      <c r="AA9" s="14">
        <f t="shared" si="2"/>
        <v>5310.6900000000005</v>
      </c>
      <c r="AB9" s="14">
        <f t="shared" si="2"/>
        <v>6111.6</v>
      </c>
    </row>
    <row r="10" spans="1:28" ht="37.5" customHeight="1">
      <c r="A10" s="27"/>
      <c r="C10" s="33"/>
      <c r="D10" s="30"/>
      <c r="E10" s="22">
        <f t="shared" si="0"/>
        <v>2159.5683454791056</v>
      </c>
      <c r="F10" s="15" t="s">
        <v>12</v>
      </c>
      <c r="G10" s="20"/>
      <c r="H10" s="20"/>
      <c r="I10" s="20"/>
      <c r="J10" s="20"/>
      <c r="K10" s="7"/>
      <c r="L10" s="7"/>
      <c r="M10">
        <f>VLOOKUP($D$5,$N$5:$AB$18,7,FALSE)</f>
        <v>0.0004630555</v>
      </c>
      <c r="N10" s="16" t="s">
        <v>10</v>
      </c>
      <c r="O10" s="14">
        <f>P10/100</f>
        <v>0.0055000000000000005</v>
      </c>
      <c r="P10" s="14">
        <v>0.55</v>
      </c>
      <c r="Q10" s="14">
        <f>P10*1000</f>
        <v>550</v>
      </c>
      <c r="R10" s="14">
        <v>0.0166666666</v>
      </c>
      <c r="S10" s="14">
        <v>0.166666</v>
      </c>
      <c r="T10" s="14">
        <v>1</v>
      </c>
      <c r="U10" s="14">
        <v>60</v>
      </c>
      <c r="V10" s="14">
        <v>2160</v>
      </c>
      <c r="W10" s="14">
        <f aca="true" t="shared" si="3" ref="W10:AB10">W9*$S$10</f>
        <v>0.013969944120000001</v>
      </c>
      <c r="X10" s="14">
        <f t="shared" si="3"/>
        <v>0.16763266280000003</v>
      </c>
      <c r="Y10" s="14">
        <f t="shared" si="3"/>
        <v>0.502914655</v>
      </c>
      <c r="Z10" s="14">
        <f t="shared" si="3"/>
        <v>11.065955736000001</v>
      </c>
      <c r="AA10" s="14">
        <f t="shared" si="3"/>
        <v>885.1114595400002</v>
      </c>
      <c r="AB10" s="14">
        <f t="shared" si="3"/>
        <v>1018.5959256000001</v>
      </c>
    </row>
    <row r="11" spans="1:28" ht="37.5" customHeight="1">
      <c r="A11" s="27"/>
      <c r="C11" s="33"/>
      <c r="D11" s="30"/>
      <c r="E11" s="22">
        <f t="shared" si="0"/>
        <v>35.99712023038157</v>
      </c>
      <c r="F11" s="15" t="s">
        <v>11</v>
      </c>
      <c r="G11" s="20"/>
      <c r="H11" s="20"/>
      <c r="I11" s="20"/>
      <c r="J11" s="20"/>
      <c r="K11" s="7"/>
      <c r="L11" s="7"/>
      <c r="M11">
        <f>VLOOKUP($D$5,$N$5:$AB$18,8,FALSE)</f>
        <v>0.02778</v>
      </c>
      <c r="N11" s="16" t="s">
        <v>20</v>
      </c>
      <c r="O11" s="14">
        <f>P11/100</f>
        <v>9.1667E-05</v>
      </c>
      <c r="P11" s="14">
        <f>Q11/1000</f>
        <v>0.0091667</v>
      </c>
      <c r="Q11" s="14">
        <v>9.1667</v>
      </c>
      <c r="R11" s="14">
        <f>R10/60</f>
        <v>0.0002777777766666667</v>
      </c>
      <c r="S11" s="14">
        <f>S10/60</f>
        <v>0.002777766666666667</v>
      </c>
      <c r="T11" s="14">
        <v>0.01667</v>
      </c>
      <c r="U11" s="14">
        <v>1</v>
      </c>
      <c r="V11" s="14">
        <v>36</v>
      </c>
      <c r="W11" s="14">
        <f aca="true" t="shared" si="4" ref="W11:AB11">W10/60</f>
        <v>0.00023283240200000003</v>
      </c>
      <c r="X11" s="14">
        <f t="shared" si="4"/>
        <v>0.002793877713333334</v>
      </c>
      <c r="Y11" s="14">
        <f t="shared" si="4"/>
        <v>0.008381910916666667</v>
      </c>
      <c r="Z11" s="14">
        <f t="shared" si="4"/>
        <v>0.18443259560000003</v>
      </c>
      <c r="AA11" s="14">
        <f t="shared" si="4"/>
        <v>14.751857659000002</v>
      </c>
      <c r="AB11" s="14">
        <f t="shared" si="4"/>
        <v>16.97659876</v>
      </c>
    </row>
    <row r="12" spans="1:28" ht="37.5" customHeight="1">
      <c r="A12" s="27"/>
      <c r="C12" s="33"/>
      <c r="D12" s="30"/>
      <c r="E12" s="22">
        <f t="shared" si="0"/>
        <v>1</v>
      </c>
      <c r="F12" s="15" t="s">
        <v>13</v>
      </c>
      <c r="G12" s="20"/>
      <c r="H12" s="20"/>
      <c r="I12" s="20"/>
      <c r="J12" s="20"/>
      <c r="K12" s="7"/>
      <c r="L12" s="7"/>
      <c r="M12">
        <f>VLOOKUP($D$5,$N$5:$AB$18,9,FALSE)</f>
        <v>1</v>
      </c>
      <c r="N12" s="16" t="s">
        <v>21</v>
      </c>
      <c r="O12" s="14">
        <f>P12/100</f>
        <v>2.5460000000000003E-06</v>
      </c>
      <c r="P12" s="14">
        <f>Q12/1000</f>
        <v>0.0002546</v>
      </c>
      <c r="Q12" s="14">
        <v>0.2546</v>
      </c>
      <c r="R12" s="17">
        <f>ROUNDDOWN(R11/36,10)</f>
        <v>7.716E-06</v>
      </c>
      <c r="S12" s="17">
        <f>ROUNDDOWN(S11/36,10)</f>
        <v>7.71601E-05</v>
      </c>
      <c r="T12" s="17">
        <f>ROUNDDOWN(T11/36,10)</f>
        <v>0.0004630555</v>
      </c>
      <c r="U12" s="14">
        <v>0.02778</v>
      </c>
      <c r="V12" s="14">
        <v>1</v>
      </c>
      <c r="W12" s="14">
        <f aca="true" t="shared" si="5" ref="W12:AB12">W11/36</f>
        <v>6.467566722222223E-06</v>
      </c>
      <c r="X12" s="14">
        <f t="shared" si="5"/>
        <v>7.760771425925927E-05</v>
      </c>
      <c r="Y12" s="14">
        <f t="shared" si="5"/>
        <v>0.00023283085879629632</v>
      </c>
      <c r="Z12" s="14">
        <f t="shared" si="5"/>
        <v>0.005123127655555556</v>
      </c>
      <c r="AA12" s="14">
        <f t="shared" si="5"/>
        <v>0.40977382386111116</v>
      </c>
      <c r="AB12" s="14">
        <f t="shared" si="5"/>
        <v>0.4715721877777778</v>
      </c>
    </row>
    <row r="13" spans="1:28" ht="37.5" customHeight="1">
      <c r="A13" s="27"/>
      <c r="C13" s="33"/>
      <c r="D13" s="30"/>
      <c r="E13" s="22">
        <f t="shared" si="0"/>
        <v>154617.65497742017</v>
      </c>
      <c r="F13" s="15" t="s">
        <v>14</v>
      </c>
      <c r="G13" s="20"/>
      <c r="H13" s="20"/>
      <c r="I13" s="20"/>
      <c r="J13" s="20"/>
      <c r="K13" s="7"/>
      <c r="L13" s="7"/>
      <c r="M13">
        <f>VLOOKUP($D$5,$N$5:$AB$18,10,FALSE)</f>
        <v>6.467566722222223E-06</v>
      </c>
      <c r="N13" s="16" t="s">
        <v>14</v>
      </c>
      <c r="O13" s="14">
        <v>0.3937</v>
      </c>
      <c r="P13" s="14">
        <v>39.37</v>
      </c>
      <c r="Q13" s="14">
        <f>P13*1000</f>
        <v>39370</v>
      </c>
      <c r="R13" s="14">
        <v>1.19305</v>
      </c>
      <c r="S13" s="14">
        <v>11.9305</v>
      </c>
      <c r="T13" s="14">
        <v>71.5832</v>
      </c>
      <c r="U13" s="14">
        <f>T13*60</f>
        <v>4294.992</v>
      </c>
      <c r="V13" s="14">
        <f>U13*36</f>
        <v>154619.712</v>
      </c>
      <c r="W13" s="14">
        <v>1</v>
      </c>
      <c r="X13" s="14">
        <v>12</v>
      </c>
      <c r="Y13" s="14">
        <v>36</v>
      </c>
      <c r="Z13" s="14">
        <v>792</v>
      </c>
      <c r="AA13" s="14">
        <f>AA6/Z6*Z13</f>
        <v>63348.19085487077</v>
      </c>
      <c r="AB13" s="14">
        <f>AB5/AA5*AA13</f>
        <v>72901.78926441351</v>
      </c>
    </row>
    <row r="14" spans="1:28" ht="37.5" customHeight="1">
      <c r="A14" s="27"/>
      <c r="C14" s="33"/>
      <c r="D14" s="30"/>
      <c r="E14" s="22">
        <f t="shared" si="0"/>
        <v>12885.31700159809</v>
      </c>
      <c r="F14" s="15" t="s">
        <v>15</v>
      </c>
      <c r="G14" s="20"/>
      <c r="H14" s="20"/>
      <c r="I14" s="20"/>
      <c r="J14" s="20"/>
      <c r="K14" s="7"/>
      <c r="L14" s="7"/>
      <c r="M14">
        <f>VLOOKUP($D$5,$N$5:$AB$18,11,FALSE)</f>
        <v>7.760771425925927E-05</v>
      </c>
      <c r="N14" s="16" t="s">
        <v>15</v>
      </c>
      <c r="O14" s="14">
        <v>0.0328</v>
      </c>
      <c r="P14" s="14">
        <v>3.2808</v>
      </c>
      <c r="Q14" s="14">
        <f>P14*1000</f>
        <v>3280.8</v>
      </c>
      <c r="R14" s="14">
        <v>0.09942</v>
      </c>
      <c r="S14" s="14">
        <v>0.9942</v>
      </c>
      <c r="T14" s="14">
        <v>5.965</v>
      </c>
      <c r="U14" s="14">
        <f>T14*60</f>
        <v>357.9</v>
      </c>
      <c r="V14" s="14">
        <f>T14*V10</f>
        <v>12884.4</v>
      </c>
      <c r="W14" s="14">
        <v>0.0833</v>
      </c>
      <c r="X14" s="14">
        <v>1</v>
      </c>
      <c r="Y14" s="14">
        <v>3</v>
      </c>
      <c r="Z14" s="14">
        <v>66</v>
      </c>
      <c r="AA14" s="14">
        <f>AA5/Z5*Z14</f>
        <v>5279.015904572565</v>
      </c>
      <c r="AB14" s="14">
        <v>6076</v>
      </c>
    </row>
    <row r="15" spans="1:28" ht="37.5" customHeight="1">
      <c r="A15" s="27"/>
      <c r="C15" s="33"/>
      <c r="D15" s="30"/>
      <c r="E15" s="22">
        <f t="shared" si="0"/>
        <v>4294.963327326383</v>
      </c>
      <c r="F15" s="15" t="s">
        <v>16</v>
      </c>
      <c r="G15" s="20"/>
      <c r="H15" s="20"/>
      <c r="I15" s="20"/>
      <c r="J15" s="20"/>
      <c r="K15" s="7"/>
      <c r="L15" s="7"/>
      <c r="M15">
        <f>VLOOKUP($D$5,$N$5:$AB$18,12,FALSE)</f>
        <v>0.00023283085879629632</v>
      </c>
      <c r="N15" s="16" t="s">
        <v>16</v>
      </c>
      <c r="O15" s="14">
        <v>0.0109</v>
      </c>
      <c r="P15" s="14">
        <v>1.0936</v>
      </c>
      <c r="Q15" s="14">
        <v>1093.6</v>
      </c>
      <c r="R15" s="14">
        <v>0.03314</v>
      </c>
      <c r="S15" s="14">
        <v>0.3314</v>
      </c>
      <c r="T15" s="14">
        <v>1.9884</v>
      </c>
      <c r="U15" s="14">
        <v>119.3</v>
      </c>
      <c r="V15" s="14">
        <f>U15*36</f>
        <v>4294.8</v>
      </c>
      <c r="W15" s="14">
        <v>0.02778</v>
      </c>
      <c r="X15" s="14">
        <v>0.333</v>
      </c>
      <c r="Y15" s="14">
        <v>1</v>
      </c>
      <c r="Z15" s="14">
        <v>22</v>
      </c>
      <c r="AA15" s="14">
        <v>1760</v>
      </c>
      <c r="AB15" s="14">
        <v>2025</v>
      </c>
    </row>
    <row r="16" spans="1:28" ht="37.5" customHeight="1">
      <c r="A16" s="27"/>
      <c r="C16" s="33"/>
      <c r="D16" s="30"/>
      <c r="E16" s="22">
        <f t="shared" si="0"/>
        <v>195.19326224783663</v>
      </c>
      <c r="F16" s="15" t="s">
        <v>17</v>
      </c>
      <c r="G16" s="20"/>
      <c r="H16" s="20"/>
      <c r="I16" s="20"/>
      <c r="J16" s="20"/>
      <c r="K16" s="7"/>
      <c r="L16" s="7"/>
      <c r="M16">
        <f>VLOOKUP($D$5,$N$5:$AB$18,13,FALSE)</f>
        <v>0.005123127655555556</v>
      </c>
      <c r="N16" s="16" t="s">
        <v>17</v>
      </c>
      <c r="O16" s="14">
        <f>P16/100</f>
        <v>0.000497</v>
      </c>
      <c r="P16" s="14">
        <v>0.0497</v>
      </c>
      <c r="Q16" s="14">
        <v>49.704</v>
      </c>
      <c r="R16" s="14">
        <f>R6/Q6*Q16</f>
        <v>0.0015060312</v>
      </c>
      <c r="S16" s="14">
        <f>R16*10</f>
        <v>0.015060312</v>
      </c>
      <c r="T16" s="14">
        <v>0.0903</v>
      </c>
      <c r="U16" s="14">
        <v>5.4224</v>
      </c>
      <c r="V16" s="14">
        <v>195.233</v>
      </c>
      <c r="W16" s="14">
        <f>W15*Y16</f>
        <v>0.001261212</v>
      </c>
      <c r="X16" s="14">
        <v>0.0151</v>
      </c>
      <c r="Y16" s="14">
        <v>0.0454</v>
      </c>
      <c r="Z16" s="14">
        <v>1</v>
      </c>
      <c r="AA16" s="14">
        <v>80</v>
      </c>
      <c r="AB16" s="14">
        <v>92.06</v>
      </c>
    </row>
    <row r="17" spans="1:28" ht="37.5" customHeight="1">
      <c r="A17" s="27"/>
      <c r="C17" s="33"/>
      <c r="D17" s="30"/>
      <c r="E17" s="22">
        <f t="shared" si="0"/>
        <v>2.440370618546245</v>
      </c>
      <c r="F17" s="15" t="s">
        <v>18</v>
      </c>
      <c r="G17" s="20"/>
      <c r="H17" s="20"/>
      <c r="I17" s="20"/>
      <c r="J17" s="20"/>
      <c r="K17" s="7"/>
      <c r="L17" s="7"/>
      <c r="M17">
        <f>VLOOKUP($D$5,$N$5:$AB$18,14,FALSE)</f>
        <v>0.40977382386111116</v>
      </c>
      <c r="N17" s="16" t="s">
        <v>18</v>
      </c>
      <c r="O17" s="14">
        <f>P17/100</f>
        <v>6.213999999999999E-06</v>
      </c>
      <c r="P17" s="14">
        <f>Q17/1000</f>
        <v>0.0006213999999999999</v>
      </c>
      <c r="Q17" s="14">
        <v>0.6214</v>
      </c>
      <c r="R17" s="14">
        <f>R7/Q7*Q17</f>
        <v>1.882842E-05</v>
      </c>
      <c r="S17" s="14">
        <f>R17*10</f>
        <v>0.0001882842</v>
      </c>
      <c r="T17" s="14">
        <f>W17*T16</f>
        <v>1.4235930450000003E-06</v>
      </c>
      <c r="U17" s="14">
        <v>0.06778</v>
      </c>
      <c r="V17" s="14">
        <v>2.4403</v>
      </c>
      <c r="W17" s="14">
        <f>Z17*W16</f>
        <v>1.5765150000000003E-05</v>
      </c>
      <c r="X17" s="14">
        <f>AA17*X16</f>
        <v>0.0151</v>
      </c>
      <c r="Y17" s="14">
        <f>AB17*Y16</f>
        <v>0.052246320000000006</v>
      </c>
      <c r="Z17" s="14">
        <v>0.0125</v>
      </c>
      <c r="AA17" s="14">
        <v>1</v>
      </c>
      <c r="AB17" s="14">
        <v>1.1508</v>
      </c>
    </row>
    <row r="18" spans="1:28" ht="37.5" customHeight="1">
      <c r="A18" s="27"/>
      <c r="C18" s="34"/>
      <c r="D18" s="31"/>
      <c r="E18" s="22">
        <f t="shared" si="0"/>
        <v>2.1205661103814646</v>
      </c>
      <c r="F18" s="15" t="s">
        <v>19</v>
      </c>
      <c r="G18" s="20"/>
      <c r="H18" s="20"/>
      <c r="I18" s="20"/>
      <c r="J18" s="20"/>
      <c r="K18" s="7"/>
      <c r="L18" s="7"/>
      <c r="M18">
        <f>VLOOKUP($D$5,$N$5:$AB$18,15,FALSE)</f>
        <v>0.4715721877777778</v>
      </c>
      <c r="N18" s="16" t="s">
        <v>19</v>
      </c>
      <c r="O18" s="14">
        <f>P18/100</f>
        <v>5.4E-06</v>
      </c>
      <c r="P18" s="14">
        <f>Q18/1000</f>
        <v>0.00054</v>
      </c>
      <c r="Q18" s="14">
        <v>0.54</v>
      </c>
      <c r="R18" s="14">
        <f>R8/Q8*Q18</f>
        <v>1.6363636363636366E-05</v>
      </c>
      <c r="S18" s="14">
        <f>R18*10</f>
        <v>0.00016363636363636366</v>
      </c>
      <c r="T18" s="14">
        <f>T17*AA18</f>
        <v>1.2371023561050002E-06</v>
      </c>
      <c r="U18" s="14">
        <v>0.0589</v>
      </c>
      <c r="V18" s="14">
        <v>2.12</v>
      </c>
      <c r="W18" s="18">
        <f>W16*Z18</f>
        <v>1.3747210800000001E-05</v>
      </c>
      <c r="X18" s="18">
        <f>X17*AA18</f>
        <v>0.0131219</v>
      </c>
      <c r="Y18" s="18">
        <f>Y17*AA18</f>
        <v>0.045402052080000005</v>
      </c>
      <c r="Z18" s="14">
        <v>0.0109</v>
      </c>
      <c r="AA18" s="14">
        <v>0.869</v>
      </c>
      <c r="AB18" s="14">
        <v>1</v>
      </c>
    </row>
    <row r="19" spans="1:22" ht="30" customHeight="1">
      <c r="A19" s="27"/>
      <c r="E19">
        <f ca="1">IF(CELL("type",D12)="b","",INDEX($R$13:$R$25,MATCH(D12,$Q$13:$Q$25,)))</f>
      </c>
      <c r="M19" s="1"/>
      <c r="N19" s="11"/>
      <c r="O19" s="2"/>
      <c r="P19" s="3"/>
      <c r="Q19" s="4"/>
      <c r="R19" s="1"/>
      <c r="S19" s="1"/>
      <c r="T19" s="1"/>
      <c r="U19" s="1"/>
      <c r="V19" s="1"/>
    </row>
    <row r="20" spans="14:17" ht="9.75" customHeight="1">
      <c r="N20" s="12"/>
      <c r="O20" s="5"/>
      <c r="P20" s="5"/>
      <c r="Q20" s="5"/>
    </row>
    <row r="22" ht="37.5" customHeight="1">
      <c r="C22" s="10"/>
    </row>
    <row r="23" ht="37.5" customHeight="1">
      <c r="C23" s="10"/>
    </row>
    <row r="24" ht="37.5" customHeight="1">
      <c r="C24" s="10"/>
    </row>
    <row r="25" ht="37.5" customHeight="1">
      <c r="C25" s="10"/>
    </row>
    <row r="26" ht="37.5" customHeight="1">
      <c r="C26" s="10"/>
    </row>
    <row r="27" ht="37.5" customHeight="1">
      <c r="C27" s="10"/>
    </row>
    <row r="28" ht="37.5" customHeight="1">
      <c r="C28" s="10"/>
    </row>
    <row r="29" ht="37.5" customHeight="1">
      <c r="C29" s="10"/>
    </row>
  </sheetData>
  <sheetProtection sheet="1" objects="1" scenarios="1"/>
  <mergeCells count="5">
    <mergeCell ref="E3:F4"/>
    <mergeCell ref="A4:A19"/>
    <mergeCell ref="C3:D3"/>
    <mergeCell ref="D5:D18"/>
    <mergeCell ref="C5:C18"/>
  </mergeCells>
  <dataValidations count="1">
    <dataValidation type="list" allowBlank="1" showInputMessage="1" showErrorMessage="1" sqref="D5:D18">
      <formula1>$N$5:$N$18</formula1>
    </dataValidation>
  </dataValidations>
  <printOptions/>
  <pageMargins left="0.75" right="0.75" top="1" bottom="1" header="0.512" footer="0.512"/>
  <pageSetup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2004-06-07T07:49:29Z</cp:lastPrinted>
  <dcterms:created xsi:type="dcterms:W3CDTF">2004-06-07T07:49:14Z</dcterms:created>
  <dcterms:modified xsi:type="dcterms:W3CDTF">2004-08-11T02:51:14Z</dcterms:modified>
  <cp:category/>
  <cp:version/>
  <cp:contentType/>
  <cp:contentStatus/>
</cp:coreProperties>
</file>